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zFnDrBh+VFZrLctIedG4QAZbDjiGE6ozTSuXi4wYeLaU5p2g3ljziU4iyN3c6a1S4YaWou0R9YRe+UtGMUN/Cw==" workbookSaltValue="dm2ypXiO+IJs9qW3DNwN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9" i="2"/>
  <c r="N13" i="2"/>
  <c r="AL11" i="11"/>
  <c r="AO9" i="11"/>
  <c r="E11" i="6"/>
  <c r="AC10" i="11"/>
  <c r="AJ19" i="8"/>
  <c r="T13" i="12"/>
  <c r="S19" i="8"/>
  <c r="AY18" i="8"/>
  <c r="BF15" i="8"/>
  <c r="AZ18" i="13"/>
  <c r="BD12"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F17" i="8"/>
  <c r="E18" i="2"/>
  <c r="AO17" i="11"/>
  <c r="AE19" i="8"/>
  <c r="Y19" i="8"/>
  <c r="L16" i="14"/>
  <c r="BG16" i="8"/>
  <c r="K16" i="7" s="1"/>
  <c r="AW18" i="21"/>
  <c r="BE12" i="8"/>
  <c r="Z19" i="8"/>
  <c r="BG12" i="8"/>
  <c r="H13" i="12"/>
  <c r="C11" i="6"/>
  <c r="I11" i="12" s="1"/>
  <c r="AO16" i="11"/>
  <c r="AL10" i="11"/>
  <c r="H12" i="7"/>
  <c r="B17" i="6"/>
  <c r="C17" i="6"/>
  <c r="M18" i="2"/>
  <c r="N18" i="2"/>
  <c r="BG15" i="8"/>
  <c r="B12" i="6"/>
  <c r="L12" i="14"/>
  <c r="BE12" i="13"/>
  <c r="F16" i="17"/>
  <c r="BG16" i="13"/>
  <c r="BD16" i="13"/>
  <c r="BE16" i="13"/>
  <c r="H15" i="2"/>
  <c r="E15" i="6"/>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AI19" i="11" l="1"/>
  <c r="I17" i="12"/>
  <c r="B19" i="7"/>
  <c r="AL18" i="11"/>
  <c r="D19" i="5"/>
  <c r="D19" i="12"/>
  <c r="G19" i="7"/>
  <c r="F19" i="7"/>
  <c r="BE13" i="13"/>
  <c r="BG13" i="13"/>
  <c r="F18" i="11"/>
  <c r="Y13" i="11"/>
  <c r="AM15"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<sst xmlns="http://schemas.openxmlformats.org/spreadsheetml/2006/main" count="2102" uniqueCount="918">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</sst>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J6/k08RpvkGV/Ft2H1vZ5SUNKe20pfxDA8BLAvRNkZHxsu1g0ONO1dA5bfOCJdfiS6Ecnur0DCSzjN2t9Vgcw==" saltValue="mANddXk4z4+MNQ6kMTha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270.11874999999998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1112</v>
      </c>
      <c r="D16" s="224">
        <f>IF(ISNUMBER(IF(D_I="SI",Datos!I16,Datos!I16+Datos!AC16)),IF(D_I="SI",Datos!I16,Datos!I16+Datos!AC16)," - ")</f>
        <v>1091</v>
      </c>
      <c r="E16" s="225">
        <f>IF(ISNUMBER(IF(D_I="SI",Datos!J16,Datos!J16+Datos!AD16)),IF(D_I="SI",Datos!J16,Datos!J16+Datos!AD16)," - ")</f>
        <v>342</v>
      </c>
      <c r="F16" s="225">
        <f>IF(ISNUMBER(IF(D_I="SI",Datos!K16,Datos!K16+Datos!AE16)),IF(D_I="SI",Datos!K16,Datos!K16+Datos!AE16)," - ")</f>
        <v>315</v>
      </c>
      <c r="G16" s="1033" t="str">
        <f>IF(Datos!E16&lt;&gt;"",Datos!E16,Datos!D16)</f>
        <v>04</v>
      </c>
      <c r="H16" s="226">
        <f>IF(ISNUMBER(IF(D_I="SI",Datos!L16,Datos!L16+Datos!AF16)),IF(D_I="SI",Datos!L16,Datos!L16+Datos!AF16)," - ")</f>
        <v>1139</v>
      </c>
      <c r="I16" s="1043" t="str">
        <f>IF(ISNUMBER(Datos!AS16/Datos!BM16),Datos!AS16/Datos!BM16," - ")</f>
        <v xml:space="preserve"> - </v>
      </c>
      <c r="J16" s="1044">
        <f>IF(ISNUMBER(Datos!BY16/Datos!CN16),Datos!BY16/Datos!CN16," - ")</f>
        <v>0</v>
      </c>
      <c r="K16" s="229">
        <f t="shared" si="3"/>
        <v>2.4280575539568347E-2</v>
      </c>
      <c r="L16" s="1024">
        <f>IF(ISNUMBER(NºAsuntos!I16/NºAsuntos!G16),(NºAsuntos!I16/NºAsuntos!G16)*11," - ")</f>
        <v>39.774603174603172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176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1129</v>
      </c>
      <c r="D18" s="1048">
        <f>SUBTOTAL(9,D15:D17)</f>
        <v>1108</v>
      </c>
      <c r="E18" s="1049">
        <f>SUBTOTAL(9,E15:E17)</f>
        <v>342</v>
      </c>
      <c r="F18" s="1049">
        <f>SUBTOTAL(9,F15:F17)</f>
        <v>316</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1129</v>
      </c>
      <c r="D19" s="1070">
        <f>SUBTOTAL(9,D9:D18)</f>
        <v>1108</v>
      </c>
      <c r="E19" s="1071">
        <f>SUBTOTAL(9,E9:E18)</f>
        <v>342</v>
      </c>
      <c r="F19" s="1071">
        <f>SUBTOTAL(9,F9:F18)</f>
        <v>316</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EbfDRGAw1qklehzP4PnhWWn3qPj41SGwV7OXf2KQPeD8PjVM81hSH2gn437c4mi1YtRCzesFzODrzp1VU41cw==" saltValue="HjZALN4YKa4PxmvH+Yx8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f6m/Hf8Fu4jysanZN2+FDckWy7/iwVn49DMTyayM2LnfhbFNIcq3EJdJAb442XmueDlG7sNSarswlZ2P/ISEw==" saltValue="7X4lTRK4/ex4j3PRnWbi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21</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3807</v>
      </c>
      <c r="J12" s="182">
        <v>943</v>
      </c>
      <c r="K12" s="182">
        <v>151</v>
      </c>
      <c r="L12" s="182">
        <v>3787</v>
      </c>
      <c r="M12" s="182">
        <v>59</v>
      </c>
      <c r="N12" s="182">
        <v>50</v>
      </c>
      <c r="O12" s="180">
        <v>38</v>
      </c>
      <c r="P12" s="182">
        <v>101</v>
      </c>
      <c r="Q12" s="182">
        <v>26</v>
      </c>
      <c r="R12" s="182">
        <v>2434</v>
      </c>
      <c r="S12" s="182">
        <v>3166</v>
      </c>
      <c r="T12" s="182">
        <v>606</v>
      </c>
      <c r="U12" s="182">
        <v>296</v>
      </c>
      <c r="V12" s="182">
        <v>3005</v>
      </c>
      <c r="W12" s="182">
        <v>109</v>
      </c>
      <c r="X12" s="188">
        <v>100</v>
      </c>
      <c r="Y12" s="190">
        <v>115</v>
      </c>
      <c r="Z12" s="180">
        <v>39</v>
      </c>
      <c r="AA12" s="180">
        <v>9</v>
      </c>
      <c r="AB12" s="180">
        <v>142</v>
      </c>
      <c r="AC12" s="182">
        <v>0</v>
      </c>
      <c r="AD12" s="182">
        <v>0</v>
      </c>
      <c r="AE12" s="182">
        <v>0</v>
      </c>
      <c r="AF12" s="188">
        <v>0</v>
      </c>
      <c r="AG12" s="201">
        <v>88</v>
      </c>
      <c r="AH12" s="182">
        <v>57</v>
      </c>
      <c r="AI12" s="182">
        <v>12</v>
      </c>
      <c r="AJ12" s="202">
        <v>129</v>
      </c>
      <c r="AK12" s="181">
        <v>0</v>
      </c>
      <c r="AL12" s="182">
        <v>0</v>
      </c>
      <c r="AM12" s="182">
        <v>0</v>
      </c>
      <c r="AN12" s="188">
        <v>0</v>
      </c>
      <c r="AO12" s="258">
        <v>2</v>
      </c>
      <c r="AP12" s="154">
        <v>2</v>
      </c>
      <c r="AQ12" s="154">
        <v>2</v>
      </c>
      <c r="AR12" s="153">
        <v>2</v>
      </c>
      <c r="AS12" s="339" t="s">
        <v>794</v>
      </c>
      <c r="AT12" s="202"/>
      <c r="AU12" s="201"/>
      <c r="AV12" s="202"/>
      <c r="AW12" s="201"/>
      <c r="AX12" s="202"/>
      <c r="AY12" s="126">
        <f t="shared" si="1"/>
        <v>3254</v>
      </c>
      <c r="AZ12" s="127">
        <f t="shared" si="1"/>
        <v>663</v>
      </c>
      <c r="BA12" s="127">
        <f t="shared" si="1"/>
        <v>308</v>
      </c>
      <c r="BB12" s="127">
        <f t="shared" si="1"/>
        <v>3134</v>
      </c>
      <c r="BC12" s="125">
        <f>IF(ISNUMBER(X12),X12," - ")</f>
        <v>100</v>
      </c>
      <c r="BD12" s="126">
        <f t="shared" si="2"/>
        <v>0.46455505279034692</v>
      </c>
      <c r="BE12" s="127">
        <f t="shared" si="3"/>
        <v>10.175324675324676</v>
      </c>
      <c r="BF12" s="127">
        <f t="shared" si="4"/>
        <v>0.32467532467532467</v>
      </c>
      <c r="BG12" s="195">
        <f t="shared" si="5"/>
        <v>12.717532467532468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3807</v>
      </c>
      <c r="J13" s="183">
        <f t="shared" si="6"/>
        <v>943</v>
      </c>
      <c r="K13" s="183">
        <f t="shared" si="6"/>
        <v>151</v>
      </c>
      <c r="L13" s="183">
        <f t="shared" si="6"/>
        <v>3787</v>
      </c>
      <c r="M13" s="183">
        <f t="shared" si="6"/>
        <v>59</v>
      </c>
      <c r="N13" s="183">
        <f t="shared" si="6"/>
        <v>50</v>
      </c>
      <c r="O13" s="183">
        <f t="shared" si="6"/>
        <v>38</v>
      </c>
      <c r="P13" s="183">
        <f t="shared" si="6"/>
        <v>101</v>
      </c>
      <c r="Q13" s="183">
        <f t="shared" si="6"/>
        <v>26</v>
      </c>
      <c r="R13" s="183">
        <f t="shared" si="6"/>
        <v>2434</v>
      </c>
      <c r="S13" s="183">
        <f t="shared" si="6"/>
        <v>3187</v>
      </c>
      <c r="T13" s="183">
        <f t="shared" si="6"/>
        <v>606</v>
      </c>
      <c r="U13" s="183">
        <f t="shared" si="6"/>
        <v>296</v>
      </c>
      <c r="V13" s="183">
        <f t="shared" si="6"/>
        <v>3005</v>
      </c>
      <c r="W13" s="183">
        <f t="shared" si="6"/>
        <v>109</v>
      </c>
      <c r="X13" s="183">
        <f t="shared" si="6"/>
        <v>100</v>
      </c>
      <c r="Y13" s="183">
        <f t="shared" si="6"/>
        <v>115</v>
      </c>
      <c r="Z13" s="183">
        <f t="shared" si="6"/>
        <v>39</v>
      </c>
      <c r="AA13" s="183">
        <f t="shared" si="6"/>
        <v>9</v>
      </c>
      <c r="AB13" s="183">
        <f t="shared" si="6"/>
        <v>142</v>
      </c>
      <c r="AC13" s="183">
        <f t="shared" si="6"/>
        <v>0</v>
      </c>
      <c r="AD13" s="183">
        <f t="shared" si="6"/>
        <v>0</v>
      </c>
      <c r="AE13" s="183">
        <f t="shared" si="6"/>
        <v>0</v>
      </c>
      <c r="AF13" s="183">
        <f>SUBTOTAL(9,AF9:AF12)</f>
        <v>0</v>
      </c>
      <c r="AG13" s="183">
        <f t="shared" ref="AG13:AT13" si="7">SUBTOTAL(9,AG8:AG12)</f>
        <v>88</v>
      </c>
      <c r="AH13" s="183">
        <f t="shared" si="7"/>
        <v>57</v>
      </c>
      <c r="AI13" s="183">
        <f t="shared" si="7"/>
        <v>12</v>
      </c>
      <c r="AJ13" s="183">
        <f t="shared" si="7"/>
        <v>129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3275</v>
      </c>
      <c r="AZ13" s="183">
        <f>SUBTOTAL(9,AZ8:AZ12)</f>
        <v>663</v>
      </c>
      <c r="BA13" s="183">
        <f>SUBTOTAL(9,BA8:BA12)</f>
        <v>308</v>
      </c>
      <c r="BB13" s="183">
        <f>SUBTOTAL(9,BB8:BB12)</f>
        <v>3134</v>
      </c>
      <c r="BC13" s="183">
        <f>SUBTOTAL(9,BC8:BC12)</f>
        <v>100</v>
      </c>
      <c r="BD13" s="204">
        <f>IF(ISNUMBER(BA13/AZ13),BA13/AZ13," - ")</f>
        <v>0.46455505279034692</v>
      </c>
      <c r="BE13" s="205">
        <f>IF(ISNUMBER(BB13/BA13),BB13/BA13, " - ")</f>
        <v>10.175324675324676</v>
      </c>
      <c r="BF13" s="205">
        <f>IF(ISNUMBER(BC13/BA13),BC13/BA13, " - ")</f>
        <v>0.32467532467532467</v>
      </c>
      <c r="BG13" s="206">
        <f>IF(ISNUMBER((AY13+AZ13)/BA13),(AY13+AZ13)/BA13," - ")</f>
        <v>12.785714285714286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1091</v>
      </c>
      <c r="J16" s="182">
        <v>342</v>
      </c>
      <c r="K16" s="182">
        <v>315</v>
      </c>
      <c r="L16" s="182">
        <v>1139</v>
      </c>
      <c r="M16" s="182">
        <v>36</v>
      </c>
      <c r="N16" s="182">
        <v>237</v>
      </c>
      <c r="O16" s="180">
        <v>0</v>
      </c>
      <c r="P16" s="182">
        <v>24</v>
      </c>
      <c r="Q16" s="182">
        <v>6</v>
      </c>
      <c r="R16" s="182">
        <v>124</v>
      </c>
      <c r="S16" s="182">
        <v>1011</v>
      </c>
      <c r="T16" s="182">
        <v>589</v>
      </c>
      <c r="U16" s="182">
        <v>332</v>
      </c>
      <c r="V16" s="182">
        <v>844</v>
      </c>
      <c r="W16" s="182">
        <v>29</v>
      </c>
      <c r="X16" s="188">
        <v>241</v>
      </c>
      <c r="Y16" s="201">
        <v>0</v>
      </c>
      <c r="Z16" s="182">
        <v>0</v>
      </c>
      <c r="AA16" s="182">
        <v>0</v>
      </c>
      <c r="AB16" s="182">
        <v>0</v>
      </c>
      <c r="AC16" s="182">
        <v>1</v>
      </c>
      <c r="AD16" s="182">
        <v>0</v>
      </c>
      <c r="AE16" s="182">
        <v>0</v>
      </c>
      <c r="AF16" s="188">
        <v>1</v>
      </c>
      <c r="AG16" s="201">
        <v>0</v>
      </c>
      <c r="AH16" s="182">
        <v>0</v>
      </c>
      <c r="AI16" s="182">
        <v>0</v>
      </c>
      <c r="AJ16" s="202">
        <v>0</v>
      </c>
      <c r="AK16" s="181">
        <v>1</v>
      </c>
      <c r="AL16" s="182">
        <v>1</v>
      </c>
      <c r="AM16" s="182">
        <v>1</v>
      </c>
      <c r="AN16" s="188">
        <v>1</v>
      </c>
      <c r="AO16" s="258">
        <v>2</v>
      </c>
      <c r="AP16" s="154">
        <v>2</v>
      </c>
      <c r="AQ16" s="154">
        <v>2</v>
      </c>
      <c r="AR16" s="154">
        <v>2</v>
      </c>
      <c r="AS16" s="339" t="s">
        <v>487</v>
      </c>
      <c r="AT16" s="202"/>
      <c r="AU16" s="201"/>
      <c r="AV16" s="202"/>
      <c r="AW16" s="201"/>
      <c r="AX16" s="202"/>
      <c r="AY16" s="126">
        <f t="shared" si="9"/>
        <v>1011</v>
      </c>
      <c r="AZ16" s="127">
        <f t="shared" si="9"/>
        <v>589</v>
      </c>
      <c r="BA16" s="127">
        <f t="shared" si="9"/>
        <v>332</v>
      </c>
      <c r="BB16" s="127">
        <f t="shared" si="9"/>
        <v>844</v>
      </c>
      <c r="BC16" s="125">
        <f>IF(ISNUMBER(W16),W16," - ")</f>
        <v>29</v>
      </c>
      <c r="BD16" s="126">
        <f t="shared" ref="BD16" si="11">IF(ISNUMBER(BA16/AZ16),BA16/AZ16," - ")</f>
        <v>0.56366723259762308</v>
      </c>
      <c r="BE16" s="127">
        <f t="shared" ref="BE16" si="12">IF(ISNUMBER(BB16/BA16),BB16/BA16, " - ")</f>
        <v>2.5421686746987953</v>
      </c>
      <c r="BF16" s="127">
        <f t="shared" ref="BF16" si="13">IF(ISNUMBER(BC16/BA16),BC16/BA16, " - ")</f>
        <v>8.7349397590361449E-2</v>
      </c>
      <c r="BG16" s="195">
        <f t="shared" si="10"/>
        <v>4.8192771084337354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0</v>
      </c>
      <c r="K17" s="182">
        <v>1</v>
      </c>
      <c r="L17" s="182">
        <v>16</v>
      </c>
      <c r="M17" s="182">
        <v>0</v>
      </c>
      <c r="N17" s="182">
        <v>1</v>
      </c>
      <c r="O17" s="182">
        <v>0</v>
      </c>
      <c r="P17" s="182">
        <v>0</v>
      </c>
      <c r="Q17" s="182">
        <v>0</v>
      </c>
      <c r="R17" s="182">
        <v>0</v>
      </c>
      <c r="S17" s="182">
        <v>49</v>
      </c>
      <c r="T17" s="182">
        <v>0</v>
      </c>
      <c r="U17" s="182">
        <v>0</v>
      </c>
      <c r="V17" s="182">
        <v>26</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0</v>
      </c>
      <c r="BA17" s="129">
        <f t="shared" si="14"/>
        <v>0</v>
      </c>
      <c r="BB17" s="129">
        <f t="shared" si="14"/>
        <v>26</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1108</v>
      </c>
      <c r="J18" s="183">
        <f t="shared" si="15"/>
        <v>342</v>
      </c>
      <c r="K18" s="183">
        <f t="shared" si="15"/>
        <v>316</v>
      </c>
      <c r="L18" s="183">
        <f t="shared" si="15"/>
        <v>1155</v>
      </c>
      <c r="M18" s="183">
        <f t="shared" si="15"/>
        <v>36</v>
      </c>
      <c r="N18" s="183">
        <f t="shared" si="15"/>
        <v>238</v>
      </c>
      <c r="O18" s="183">
        <f t="shared" si="15"/>
        <v>0</v>
      </c>
      <c r="P18" s="183">
        <f t="shared" si="15"/>
        <v>24</v>
      </c>
      <c r="Q18" s="183">
        <f t="shared" si="15"/>
        <v>6</v>
      </c>
      <c r="R18" s="183">
        <f t="shared" si="15"/>
        <v>124</v>
      </c>
      <c r="S18" s="183">
        <f t="shared" si="15"/>
        <v>1060</v>
      </c>
      <c r="T18" s="183">
        <f t="shared" si="15"/>
        <v>589</v>
      </c>
      <c r="U18" s="183">
        <f t="shared" si="15"/>
        <v>332</v>
      </c>
      <c r="V18" s="183">
        <f t="shared" si="15"/>
        <v>870</v>
      </c>
      <c r="W18" s="183">
        <f t="shared" si="15"/>
        <v>29</v>
      </c>
      <c r="X18" s="183">
        <f t="shared" si="15"/>
        <v>241</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1</v>
      </c>
      <c r="AM18" s="183">
        <f t="shared" si="15"/>
        <v>1</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1060</v>
      </c>
      <c r="AZ18" s="183">
        <f>SUBTOTAL(9,AZ14:AZ17)</f>
        <v>589</v>
      </c>
      <c r="BA18" s="183">
        <f>SUBTOTAL(9,BA14:BA17)</f>
        <v>332</v>
      </c>
      <c r="BB18" s="183">
        <f>SUBTOTAL(9,BB14:BB17)</f>
        <v>870</v>
      </c>
      <c r="BC18" s="183">
        <f>SUBTOTAL(9,BC14:BC17)</f>
        <v>29</v>
      </c>
      <c r="BD18" s="204">
        <f>IF(ISNUMBER(BA18/AZ18),BA18/AZ18," - ")</f>
        <v>0.56366723259762308</v>
      </c>
      <c r="BE18" s="205">
        <f>IF(ISNUMBER(BB18/BA18),BB18/BA18, " - ")</f>
        <v>2.6204819277108435</v>
      </c>
      <c r="BF18" s="205">
        <f>IF(ISNUMBER(BC18/BA18),BC18/BA18, " - ")</f>
        <v>8.7349397590361449E-2</v>
      </c>
      <c r="BG18" s="206">
        <f>IF(ISNUMBER((AY18+AZ18)/BA18),(AY18+AZ18)/BA18," - ")</f>
        <v>4.9668674698795181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4915</v>
      </c>
      <c r="J19" s="134">
        <f t="shared" si="18"/>
        <v>1285</v>
      </c>
      <c r="K19" s="134">
        <f t="shared" si="18"/>
        <v>467</v>
      </c>
      <c r="L19" s="134">
        <f t="shared" si="18"/>
        <v>4942</v>
      </c>
      <c r="M19" s="134">
        <f t="shared" si="18"/>
        <v>95</v>
      </c>
      <c r="N19" s="134">
        <f t="shared" si="18"/>
        <v>288</v>
      </c>
      <c r="O19" s="134">
        <f t="shared" si="18"/>
        <v>38</v>
      </c>
      <c r="P19" s="134">
        <f t="shared" si="18"/>
        <v>125</v>
      </c>
      <c r="Q19" s="134">
        <f t="shared" si="18"/>
        <v>32</v>
      </c>
      <c r="R19" s="134">
        <f t="shared" si="18"/>
        <v>2558</v>
      </c>
      <c r="S19" s="134">
        <f t="shared" si="18"/>
        <v>4247</v>
      </c>
      <c r="T19" s="134">
        <f t="shared" si="18"/>
        <v>1195</v>
      </c>
      <c r="U19" s="134">
        <f t="shared" si="18"/>
        <v>628</v>
      </c>
      <c r="V19" s="134">
        <f t="shared" si="18"/>
        <v>3875</v>
      </c>
      <c r="W19" s="134">
        <f t="shared" si="18"/>
        <v>138</v>
      </c>
      <c r="X19" s="134">
        <f t="shared" si="18"/>
        <v>341</v>
      </c>
      <c r="Y19" s="134">
        <f t="shared" si="18"/>
        <v>115</v>
      </c>
      <c r="Z19" s="134">
        <f t="shared" si="18"/>
        <v>39</v>
      </c>
      <c r="AA19" s="134">
        <f t="shared" si="18"/>
        <v>9</v>
      </c>
      <c r="AB19" s="134">
        <f t="shared" si="18"/>
        <v>142</v>
      </c>
      <c r="AC19" s="134">
        <f t="shared" si="18"/>
        <v>1</v>
      </c>
      <c r="AD19" s="134">
        <f t="shared" si="18"/>
        <v>0</v>
      </c>
      <c r="AE19" s="134">
        <f t="shared" si="18"/>
        <v>0</v>
      </c>
      <c r="AF19" s="134">
        <f t="shared" si="18"/>
        <v>1</v>
      </c>
      <c r="AG19" s="134">
        <f t="shared" si="18"/>
        <v>88</v>
      </c>
      <c r="AH19" s="134">
        <f t="shared" si="18"/>
        <v>57</v>
      </c>
      <c r="AI19" s="134">
        <f t="shared" si="18"/>
        <v>12</v>
      </c>
      <c r="AJ19" s="134">
        <f t="shared" si="18"/>
        <v>129</v>
      </c>
      <c r="AK19" s="134">
        <f t="shared" si="18"/>
        <v>1</v>
      </c>
      <c r="AL19" s="134">
        <f t="shared" si="18"/>
        <v>1</v>
      </c>
      <c r="AM19" s="134">
        <f t="shared" si="18"/>
        <v>1</v>
      </c>
      <c r="AN19" s="209">
        <f t="shared" si="18"/>
        <v>1</v>
      </c>
      <c r="AO19" s="210">
        <v>3</v>
      </c>
      <c r="AP19" s="210">
        <v>2</v>
      </c>
      <c r="AQ19" s="210">
        <v>2</v>
      </c>
      <c r="AR19" s="210">
        <v>2</v>
      </c>
      <c r="AS19" s="152">
        <f t="shared" si="18"/>
        <v>0</v>
      </c>
      <c r="AT19" s="152">
        <f t="shared" si="18"/>
        <v>0</v>
      </c>
      <c r="AU19" s="210"/>
      <c r="AV19" s="211"/>
      <c r="AW19" s="210"/>
      <c r="AX19" s="211"/>
      <c r="AY19" s="133">
        <f>SUBTOTAL(9,AY9:AY18)</f>
        <v>4335</v>
      </c>
      <c r="AZ19" s="134">
        <f>SUBTOTAL(9,AZ9:AZ18)</f>
        <v>1252</v>
      </c>
      <c r="BA19" s="134">
        <f>SUBTOTAL(9,BA9:BA18)</f>
        <v>640</v>
      </c>
      <c r="BB19" s="134">
        <f>SUBTOTAL(9,BB9:BB18)</f>
        <v>4004</v>
      </c>
      <c r="BC19" s="135">
        <f>SUBTOTAL(9,BC9:BC18)</f>
        <v>129</v>
      </c>
      <c r="BD19" s="212">
        <f>IF(ISNUMBER(BA19/AZ19),BA19/AZ19," - ")</f>
        <v>0.51118210862619806</v>
      </c>
      <c r="BE19" s="209">
        <f>IF(ISNUMBER(BB19/BA19),BB19/BA19, " - ")</f>
        <v>6.2562499999999996</v>
      </c>
      <c r="BF19" s="209">
        <f>IF(ISNUMBER(BC19/BA19),BC19/BA19, " - ")</f>
        <v>0.20156250000000001</v>
      </c>
      <c r="BG19" s="135">
        <f>IF(ISNUMBER((AY19+AZ19)/BA19),(AY19+AZ19)/BA19," - ")</f>
        <v>8.7296875000000007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zbcYBAL1efevK3bTE1HJczvFK1MwXpKdENZ/aEB+BC41Jso4hVqRfhIMPjL7aDTRayXrQBkWnXWwVVygkSoA==" saltValue="iqlgrkc67xATo+OA2mE5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v2c3hjcyxxPEXyltyCx8c3MITj8VTI7cbVtztK24U497bTtr6c6744fkXiU6sX5OZ5HkAWcBaN0sSJJ3YHuQ==" saltValue="D1tcypsqZWOQ2PPy7YaH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142</v>
      </c>
      <c r="AI12" s="333" t="str">
        <f>IF(ISNUMBER(Datos!CD12),Datos!CD12,"-")</f>
        <v>-</v>
      </c>
      <c r="AJ12" s="333" t="str">
        <f>IF(ISNUMBER(Datos!EN12),Datos!EN12," - ")</f>
        <v xml:space="preserve"> - </v>
      </c>
      <c r="AK12" s="333"/>
      <c r="AL12" s="478"/>
      <c r="AM12" s="334">
        <f>IF(ISNUMBER(Datos!R12),Datos!R12," - ")</f>
        <v>2434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v>
      </c>
      <c r="BD12" s="228">
        <f>IF(ISNUMBER(Datos!N12),Datos!N12," - ")</f>
        <v>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0.16293279022403259</v>
      </c>
      <c r="BH12" s="259">
        <f>IF(ISNUMBER(((IF(J_V="SI",Datos!L12/Datos!K12,(Datos!L12+Datos!AB12)/(Datos!K12+Datos!AA12)))*11)/factor_trimestre),((IF(J_V="SI",Datos!L12/Datos!K12,(Datos!L12+Datos!AB12)/(Datos!K12+Datos!AA12)))*11)/factor_trimestre," - ")</f>
        <v>73.668750000000003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3.17931326833404E-2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26</v>
      </c>
      <c r="AD13" s="898">
        <f t="shared" si="1"/>
        <v>0</v>
      </c>
      <c r="AE13" s="898">
        <f t="shared" si="1"/>
        <v>0</v>
      </c>
      <c r="AF13" s="898">
        <f t="shared" si="1"/>
        <v>0</v>
      </c>
      <c r="AG13" s="898">
        <f t="shared" si="1"/>
        <v>0</v>
      </c>
      <c r="AH13" s="898">
        <f t="shared" si="1"/>
        <v>142</v>
      </c>
      <c r="AI13" s="898">
        <f t="shared" si="1"/>
        <v>0</v>
      </c>
      <c r="AJ13" s="898">
        <f t="shared" si="1"/>
        <v>0</v>
      </c>
      <c r="AK13" s="898">
        <f t="shared" si="1"/>
        <v>0</v>
      </c>
      <c r="AL13" s="898">
        <f t="shared" si="1"/>
        <v>0</v>
      </c>
      <c r="AM13" s="898">
        <f t="shared" si="1"/>
        <v>2434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v>
      </c>
      <c r="BD13" s="898">
        <f t="shared" si="1"/>
        <v>50</v>
      </c>
      <c r="BE13" s="898">
        <f t="shared" si="1"/>
        <v>0</v>
      </c>
      <c r="BF13" s="898">
        <f t="shared" si="1"/>
        <v>0</v>
      </c>
      <c r="BG13" s="898">
        <f>IF(ISNUMBER(Datos!K13/Datos!J13),Datos!K13/Datos!J13," - ")</f>
        <v>0.16012725344644752</v>
      </c>
      <c r="BH13" s="902">
        <f>IF(ISNUMBER(((Datos!L13/Datos!K13)*11)/factor_trimestre),((Datos!L13/Datos!K13)*11)/factor_trimestre," - ")</f>
        <v>75.238410596026498</v>
      </c>
      <c r="BI13" s="898">
        <f>IF(ISNUMBER('Resol  Asuntos'!D13/NºAsuntos!G13),'Resol  Asuntos'!D13/NºAsuntos!G13," - ")</f>
        <v>0.36875000000000002</v>
      </c>
      <c r="BJ13" s="898" t="str">
        <f>IF(ISNUMBER(Datos!CI13/Datos!CJ13),Datos!CI13/Datos!CJ13," - ")</f>
        <v xml:space="preserve"> - </v>
      </c>
      <c r="BK13" s="898">
        <f>SUBTOTAL(9,BK8:BK12)</f>
        <v>0</v>
      </c>
      <c r="BL13" s="898" t="str">
        <f>IF(ISNUMBER((I13-AB13+L13)/(F13)),(I13-AB13+L13)/(F13)," - ")</f>
        <v xml:space="preserve"> - </v>
      </c>
      <c r="BM13" s="903">
        <f>SUBTOTAL(9,BM9:BM12)</f>
        <v>3.17931326833404E-2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1112</v>
      </c>
      <c r="G16" s="597">
        <f>IF(ISNUMBER(IF(D_I="SI",Datos!I16,Datos!I16+Datos!AC16)),IF(D_I="SI",Datos!I16,Datos!I16+Datos!AC16)," - ")</f>
        <v>1091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315</v>
      </c>
      <c r="AC16" s="225">
        <f>IF(ISNUMBER(Datos!Q16),Datos!Q16," - ")</f>
        <v>6</v>
      </c>
      <c r="AD16" s="333"/>
      <c r="AE16" s="483"/>
      <c r="AF16" s="595">
        <f>IF(ISNUMBER(IF(D_I="SI",Datos!L16,Datos!L16+Datos!AF16)),IF(D_I="SI",Datos!L16,Datos!L16+Datos!AF16)," - ")</f>
        <v>1139</v>
      </c>
      <c r="AG16" s="333"/>
      <c r="AH16" s="333"/>
      <c r="AI16" s="333"/>
      <c r="AJ16" s="333"/>
      <c r="AK16" s="333"/>
      <c r="AL16" s="478"/>
      <c r="AM16" s="334">
        <f>IF(ISNUMBER(Datos!R16),Datos!R16," - ")</f>
        <v>124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237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0.92105263157894735</v>
      </c>
      <c r="BH16" s="259">
        <f>IF(ISNUMBER(((IF(D_I="SI",Datos!L16/Datos!K16,(Datos!L16+Datos!AF16)/(Datos!K16+Datos!AE16)))*11)/factor_trimestre),((IF(D_I="SI",Datos!L16/Datos!K16,(Datos!L16+Datos!AF16)/(Datos!K16+Datos!AE16)))*11)/factor_trimestre," - ")</f>
        <v>10.847619047619048</v>
      </c>
      <c r="BI16" s="242">
        <f>IF(ISNUMBER('Resol  Asuntos'!D16/NºAsuntos!G16),'Resol  Asuntos'!D16/NºAsuntos!G16," - ")</f>
        <v>0.11428571428571428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48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1112</v>
      </c>
      <c r="G18" s="897">
        <f>SUBTOTAL(9,G15:G17)</f>
        <v>1108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316</v>
      </c>
      <c r="AC18" s="898">
        <f t="shared" si="4"/>
        <v>6</v>
      </c>
      <c r="AD18" s="898">
        <f t="shared" si="4"/>
        <v>0</v>
      </c>
      <c r="AE18" s="898">
        <f t="shared" si="4"/>
        <v>0</v>
      </c>
      <c r="AF18" s="898">
        <f t="shared" si="4"/>
        <v>1155</v>
      </c>
      <c r="AG18" s="898">
        <f t="shared" si="4"/>
        <v>0</v>
      </c>
      <c r="AH18" s="898">
        <f t="shared" si="4"/>
        <v>0</v>
      </c>
      <c r="AI18" s="898">
        <f t="shared" si="4"/>
        <v>0</v>
      </c>
      <c r="AJ18" s="898">
        <f t="shared" si="4"/>
        <v>0</v>
      </c>
      <c r="AK18" s="898">
        <f t="shared" si="4"/>
        <v>0</v>
      </c>
      <c r="AL18" s="898">
        <f t="shared" si="4"/>
        <v>0</v>
      </c>
      <c r="AM18" s="898">
        <f t="shared" si="4"/>
        <v>124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238</v>
      </c>
      <c r="BE18" s="898">
        <f t="shared" si="4"/>
        <v>0</v>
      </c>
      <c r="BF18" s="898">
        <f t="shared" si="4"/>
        <v>0</v>
      </c>
      <c r="BG18" s="898">
        <f>IF(ISNUMBER(Datos!K18/Datos!J18),Datos!K18/Datos!J18," - ")</f>
        <v>0.92397660818713445</v>
      </c>
      <c r="BH18" s="902">
        <f>IF(ISNUMBER(((Datos!L18/Datos!K18)*11)/factor_trimestre),((Datos!L18/Datos!K18)*11)/factor_trimestre," - ")</f>
        <v>10.965189873417723</v>
      </c>
      <c r="BI18" s="898">
        <f>SUBTOTAL(9,BI15:BI17)</f>
        <v>0.11428571428571428</v>
      </c>
      <c r="BJ18" s="898">
        <f>SUBTOTAL(9,BJ15:BJ17)</f>
        <v>0</v>
      </c>
      <c r="BK18" s="898">
        <f>SUBTOTAL(9,BK15:BK17)</f>
        <v>0</v>
      </c>
      <c r="BL18" s="898">
        <f>IF(ISNUMBER((I18-AB18+L18)/(F18)),(I18-AB18+L18)/(F18)," - ")</f>
        <v>-0.28417266187050361</v>
      </c>
      <c r="BM18" s="904">
        <f>IF(ISNUMBER((Datos!P18-Datos!Q18)/(Datos!R18-Datos!P18+Datos!Q18)),(Datos!P18-Datos!Q18)/(Datos!R18-Datos!P18+Datos!Q18)," - ")</f>
        <v>0.16981132075471697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1112</v>
      </c>
      <c r="G19" s="819">
        <f t="shared" si="6"/>
        <v>1108</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125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316</v>
      </c>
      <c r="AC19" s="820">
        <f t="shared" si="7"/>
        <v>32</v>
      </c>
      <c r="AD19" s="820">
        <f t="shared" si="7"/>
        <v>0</v>
      </c>
      <c r="AE19" s="820">
        <f t="shared" si="7"/>
        <v>0</v>
      </c>
      <c r="AF19" s="827">
        <f t="shared" si="7"/>
        <v>1155</v>
      </c>
      <c r="AG19" s="827">
        <f t="shared" si="7"/>
        <v>0</v>
      </c>
      <c r="AH19" s="827">
        <f t="shared" si="7"/>
        <v>142</v>
      </c>
      <c r="AI19" s="827">
        <f t="shared" si="7"/>
        <v>0</v>
      </c>
      <c r="AJ19" s="820">
        <f t="shared" si="7"/>
        <v>0</v>
      </c>
      <c r="AK19" s="827">
        <f t="shared" si="7"/>
        <v>0</v>
      </c>
      <c r="AL19" s="827">
        <f t="shared" si="7"/>
        <v>0</v>
      </c>
      <c r="AM19" s="827">
        <f t="shared" si="7"/>
        <v>2558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v>
      </c>
      <c r="BD19" s="819">
        <f t="shared" si="7"/>
        <v>288</v>
      </c>
      <c r="BE19" s="819">
        <f t="shared" si="7"/>
        <v>0</v>
      </c>
      <c r="BF19" s="829">
        <f t="shared" si="7"/>
        <v>0</v>
      </c>
      <c r="BG19" s="914">
        <f>IF(ISNUMBER(Datos!K19/Datos!J19),Datos!K19/Datos!J19," - ")</f>
        <v>0.36342412451361866</v>
      </c>
      <c r="BH19" s="914">
        <f>IF(ISNUMBER(((Datos!L19/Datos!K19)*11)/factor_trimestre),((Datos!L19/Datos!K19)*11)/factor_trimestre," - ")</f>
        <v>31.747323340471098</v>
      </c>
      <c r="BI19" s="812">
        <f>IF(ISNUMBER(Datos!J19/Datos!I19),Datos!J19/Datos!I19," - ")</f>
        <v>0.26144455747711087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-0.28417266187050361</v>
      </c>
      <c r="BM19" s="888">
        <f>IF(ISNUMBER((Datos!P19-Datos!Q19+R19)/(Datos!R19-Datos!P19+Datos!Q19-R19)),(Datos!P19-Datos!Q19+R19)/(Datos!R19-Datos!P19+Datos!Q19-R19)," - ")</f>
        <v>3.7728194726166328E-2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642.01349933886388</v>
      </c>
      <c r="G21" s="551">
        <f>IF(ISNUMBER(STDEV(G8:G18)),STDEV(G8:G18),"-")</f>
        <v>599.18753324814759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172.62473750885184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26.598245556176568</v>
      </c>
      <c r="BD21" s="550"/>
      <c r="BE21" s="550">
        <f>IF(ISNUMBER(STDEV(BE8:BE18)),STDEV(BE8:BE18),"-")</f>
        <v>0</v>
      </c>
      <c r="BF21" s="555">
        <f>IF(ISNUMBER(STDEV(BF8:BF18)),STDEV(BF8:BF18),"-")</f>
        <v>0</v>
      </c>
      <c r="BG21" s="774">
        <f>IF(ISNUMBER(STDEV(BG8:BG18)),STDEV(BG8:BG18),"-")</f>
        <v>0.43935777706552576</v>
      </c>
      <c r="BH21" s="775">
        <f>IF(ISNUMBER(STDEV(BH8:BH18)),STDEV(BH8:BH18),"-")</f>
        <v>31.867398585514177</v>
      </c>
      <c r="BI21" s="248">
        <f>IF(ISNUMBER(STDEV(BI8:BI18)),STDEV(BI8:BI18),"-")</f>
        <v>0.15588541648909812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xRazZypIIPtCP1c3N6NRfrOEP20JVVn/fJ2nnsOhm/SkntGDbCW1YDEDd0kip49RdrSUeYvaq2ja6FkAzdIfQ==" saltValue="QbuQmRJeuTgNDIiYRcsc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ORGAZ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2434</v>
      </c>
      <c r="AF12" s="228" t="str">
        <f>IF(ISNUMBER(Datos!BV12),Datos!BV12," - ")</f>
        <v xml:space="preserve"> - </v>
      </c>
      <c r="AG12" s="224" t="str">
        <f>IF(ISNUMBER(Datos!DV12),Datos!DV12," - ")</f>
        <v xml:space="preserve"> - </v>
      </c>
      <c r="AH12" s="297"/>
      <c r="AI12" s="226"/>
      <c r="AJ12" s="224">
        <f>IF(ISNUMBER(Datos!M12),Datos!M12," - ")</f>
        <v>59</v>
      </c>
      <c r="AK12" s="228">
        <f>IF(ISNUMBER(Datos!N12),Datos!N12," - ")</f>
        <v>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73.668750000000003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3.17931326833404E-2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26</v>
      </c>
      <c r="AA13" s="899">
        <f t="shared" si="2"/>
        <v>0</v>
      </c>
      <c r="AB13" s="899">
        <f t="shared" si="2"/>
        <v>0</v>
      </c>
      <c r="AC13" s="899">
        <f t="shared" si="2"/>
        <v>0</v>
      </c>
      <c r="AD13" s="899">
        <f t="shared" si="2"/>
        <v>0</v>
      </c>
      <c r="AE13" s="899">
        <f t="shared" si="2"/>
        <v>2434</v>
      </c>
      <c r="AF13" s="907">
        <f t="shared" si="2"/>
        <v>0</v>
      </c>
      <c r="AG13" s="907">
        <f t="shared" si="2"/>
        <v>0</v>
      </c>
      <c r="AH13" s="907">
        <f t="shared" si="2"/>
        <v>0</v>
      </c>
      <c r="AI13" s="907">
        <f t="shared" si="2"/>
        <v>0</v>
      </c>
      <c r="AJ13" s="907">
        <f t="shared" si="2"/>
        <v>59</v>
      </c>
      <c r="AK13" s="907">
        <f t="shared" si="2"/>
        <v>50</v>
      </c>
      <c r="AL13" s="907">
        <f t="shared" si="2"/>
        <v>0</v>
      </c>
      <c r="AM13" s="907">
        <f t="shared" si="2"/>
        <v>0</v>
      </c>
      <c r="AN13" s="907">
        <f t="shared" si="2"/>
        <v>0</v>
      </c>
      <c r="AO13" s="903">
        <f>IF(ISNUMBER(((NºAsuntos!I13/NºAsuntos!G13)*11)/factor_trimestre),((NºAsuntos!I13/NºAsuntos!G13)*11)/factor_trimestre," - ")</f>
        <v>73.668750000000003</v>
      </c>
      <c r="AP13" s="909" t="str">
        <f>IF(ISNUMBER(Datos!CI13/Datos!CJ13),Datos!CI13/Datos!CJ13," - ")</f>
        <v xml:space="preserve"> - </v>
      </c>
      <c r="AQ13" s="927">
        <f t="shared" ref="AQ13:AV13" si="3">SUBTOTAL(9,AQ9:AQ12)</f>
        <v>0</v>
      </c>
      <c r="AR13" s="927">
        <f t="shared" si="3"/>
        <v>3.17931326833404E-2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1112</v>
      </c>
      <c r="G16" s="224">
        <f>IF(ISNUMBER(IF(D_I="SI",Datos!I16,Datos!I16+Datos!AC16)),IF(D_I="SI",Datos!I16,Datos!I16+Datos!AC16)," - ")</f>
        <v>1091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315</v>
      </c>
      <c r="Z16" s="618">
        <f>IF(ISNUMBER(Datos!Q16),Datos!Q16," - ")</f>
        <v>6</v>
      </c>
      <c r="AA16" s="331">
        <f>IF(ISNUMBER(IF(D_I="SI",Datos!L16,Datos!L16+Datos!AF16)),IF(D_I="SI",Datos!L16,Datos!L16+Datos!AF16)," - ")</f>
        <v>1139</v>
      </c>
      <c r="AB16" s="333"/>
      <c r="AC16" s="333"/>
      <c r="AD16" s="483"/>
      <c r="AE16" s="483">
        <f>IF(ISNUMBER(Datos!R16),Datos!R16," - ")</f>
        <v>124</v>
      </c>
      <c r="AF16" s="228" t="str">
        <f>IF(ISNUMBER(Datos!BV16),Datos!BV16," - ")</f>
        <v xml:space="preserve"> - </v>
      </c>
      <c r="AG16" s="224"/>
      <c r="AH16" s="297"/>
      <c r="AI16" s="226"/>
      <c r="AJ16" s="224">
        <f>IF(ISNUMBER(Datos!M16),Datos!M16," - ")</f>
        <v>36</v>
      </c>
      <c r="AK16" s="228">
        <f>IF(ISNUMBER(Datos!N16),Datos!N16," - ")</f>
        <v>237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10.847619047619048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1112</v>
      </c>
      <c r="G18" s="897">
        <f>SUBTOTAL(9,G15:G17)</f>
        <v>1108</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316</v>
      </c>
      <c r="Z18" s="931">
        <f t="shared" si="5"/>
        <v>6</v>
      </c>
      <c r="AA18" s="931">
        <f t="shared" si="5"/>
        <v>1155</v>
      </c>
      <c r="AB18" s="931">
        <f t="shared" si="5"/>
        <v>0</v>
      </c>
      <c r="AC18" s="931">
        <f t="shared" si="5"/>
        <v>0</v>
      </c>
      <c r="AD18" s="931">
        <f t="shared" si="5"/>
        <v>0</v>
      </c>
      <c r="AE18" s="931">
        <f t="shared" si="5"/>
        <v>124</v>
      </c>
      <c r="AF18" s="931">
        <f t="shared" si="5"/>
        <v>0</v>
      </c>
      <c r="AG18" s="931">
        <f t="shared" si="5"/>
        <v>0</v>
      </c>
      <c r="AH18" s="931">
        <f t="shared" si="5"/>
        <v>0</v>
      </c>
      <c r="AI18" s="931">
        <f t="shared" si="5"/>
        <v>0</v>
      </c>
      <c r="AJ18" s="931">
        <f t="shared" si="5"/>
        <v>36</v>
      </c>
      <c r="AK18" s="931">
        <f t="shared" si="5"/>
        <v>238</v>
      </c>
      <c r="AL18" s="931">
        <f t="shared" si="5"/>
        <v>0</v>
      </c>
      <c r="AM18" s="931">
        <f t="shared" si="5"/>
        <v>0</v>
      </c>
      <c r="AN18" s="931">
        <f t="shared" si="5"/>
        <v>0</v>
      </c>
      <c r="AO18" s="933">
        <f>IF(ISNUMBER(((NºAsuntos!I18/NºAsuntos!G18)*11)/factor_trimestre),((NºAsuntos!I18/NºAsuntos!G18)*11)/factor_trimestre," - ")</f>
        <v>10.965189873417723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1112</v>
      </c>
      <c r="G19" s="819">
        <f t="shared" si="7"/>
        <v>1108</v>
      </c>
      <c r="H19" s="820">
        <f t="shared" si="7"/>
        <v>0</v>
      </c>
      <c r="I19" s="819">
        <f t="shared" si="7"/>
        <v>0</v>
      </c>
      <c r="J19" s="821">
        <f t="shared" si="7"/>
        <v>0</v>
      </c>
      <c r="K19" s="819">
        <f t="shared" si="7"/>
        <v>0</v>
      </c>
      <c r="L19" s="822">
        <f t="shared" si="7"/>
        <v>0</v>
      </c>
      <c r="M19" s="819">
        <f t="shared" si="7"/>
        <v>0</v>
      </c>
      <c r="N19" s="820">
        <f t="shared" si="7"/>
        <v>125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316</v>
      </c>
      <c r="Z19" s="826">
        <f t="shared" si="8"/>
        <v>32</v>
      </c>
      <c r="AA19" s="827">
        <f t="shared" si="8"/>
        <v>1155</v>
      </c>
      <c r="AB19" s="827">
        <f t="shared" si="8"/>
        <v>0</v>
      </c>
      <c r="AC19" s="827">
        <f t="shared" si="8"/>
        <v>0</v>
      </c>
      <c r="AD19" s="828">
        <f t="shared" si="8"/>
        <v>0</v>
      </c>
      <c r="AE19" s="828">
        <f t="shared" si="8"/>
        <v>2558</v>
      </c>
      <c r="AF19" s="829">
        <f t="shared" si="8"/>
        <v>0</v>
      </c>
      <c r="AG19" s="830">
        <f t="shared" si="8"/>
        <v>0</v>
      </c>
      <c r="AH19" s="831">
        <f t="shared" si="8"/>
        <v>0</v>
      </c>
      <c r="AI19" s="829">
        <f t="shared" si="8"/>
        <v>0</v>
      </c>
      <c r="AJ19" s="819">
        <f t="shared" si="8"/>
        <v>95</v>
      </c>
      <c r="AK19" s="819">
        <f t="shared" si="8"/>
        <v>288</v>
      </c>
      <c r="AL19" s="819">
        <f t="shared" si="8"/>
        <v>0</v>
      </c>
      <c r="AM19" s="832">
        <f t="shared" si="8"/>
        <v>0</v>
      </c>
      <c r="AN19" s="822">
        <f>IF(ISNUMBER(Datos!K19/Datos!J19),Datos!K19/Datos!J19," - ")</f>
        <v>0.36342412451361866</v>
      </c>
      <c r="AO19" s="822">
        <f>IF(ISNUMBER(FIND("06",Criterios!A8,1)),(IF(ISNUMBER(((Datos!R19/Datos!Q19)*11)/factor_trimestre),((Datos!R19/Datos!Q19)*11)/factor_trimestre," - ")),(IF(ISNUMBER(((Datos!L19/Datos!K19)*11)/factor_trimestre),((Datos!L19/Datos!K19)*11)/factor_trimestre," - ")))</f>
        <v>31.747323340471098</v>
      </c>
      <c r="AP19" s="833" t="str">
        <f>IF(ISNUMBER(Datos!CI19/Datos!CJ19),Datos!CI19/Datos!CJ19," - ")</f>
        <v xml:space="preserve"> - </v>
      </c>
      <c r="AQ19" s="833">
        <f>IF(OR(ISNUMBER(FIND("01",Criterios!A8,1)),ISNUMBER(FIND("02",Criterios!A8,1)),ISNUMBER(FIND("03",Criterios!A8,1)),ISNUMBER(FIND("04",Criterios!A8,1))),(J19-Y19+K19)/(F19-K19),(I19-Y19+K19)/(F19-K19))</f>
        <v>-0.28417266187050361</v>
      </c>
      <c r="AR19" s="833">
        <f>IF(ISNUMBER((Datos!P19-Datos!Q19+O19)/(Datos!R19-Datos!P19+Datos!Q19-O19)),(Datos!P19-Datos!Q19+O19)/(Datos!R19-Datos!P19+Datos!Q19-O19)," - ")</f>
        <v>3.7728194726166328E-2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642.01349933886388</v>
      </c>
      <c r="G21" s="551">
        <f>IF(ISNUMBER(STDEV(G8:G18)),STDEV(G8:G18),"-")</f>
        <v>599.18753324814759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26.598245556176568</v>
      </c>
      <c r="AK21" s="251"/>
      <c r="AL21" s="251">
        <f>IF(ISNUMBER(STDEV(AL8:AL18)),STDEV(AL8:AL18),"-")</f>
        <v>0</v>
      </c>
      <c r="AM21" s="253">
        <f>IF(ISNUMBER(STDEV(AM8:AM18)),STDEV(AM8:AM18),"-")</f>
        <v>0</v>
      </c>
      <c r="AN21" s="538">
        <f>IF(ISNUMBER(STDEV(AN8:AN18)),STDEV(AN8:AN18),"-")</f>
        <v>0</v>
      </c>
      <c r="AO21" s="539">
        <f>IF(ISNUMBER(STDEV(AO8:AO18)),STDEV(AO8:AO18),"-")</f>
        <v>31.485013689797835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txYNVCttW+pKcpfT/i9NbxIFiqEh81aD/ujvFG8hFtqZbSHlt4M6/FeKBDzRCEwUvDZQS/Vl/mjuxw8F9j+OQ==" saltValue="4jPkQnF+H9ZhawTq4D+i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6TJ0fklL9hjJihZXqMeYqUBgw162wDoYFwC+Z68cOgK/FkWGU1KNffpu7cs4Jva6ii59iB+efWnV1q8JyuImg==" saltValue="wm1x2/UldxpYYXRudp+x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OToPiwLOXg8yS8+PPWrplAPpibZE1MFNk2k2mcHFh+VhecCQWsrOMUpG+tcgKiJfmmJS6iBR3byqD+mGxsAg==" saltValue="BLJ6ipMxG0EKvKuvXZbU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0.36875000000000002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0.26074562556253938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vRy2mz0AngfRlMSAfECizN9ytmY8ITL1scPFhzxTlQWF3P75DDmSvLoRzjRbM7AFOcUma4xDUiQ6VZnUrYfoA==" saltValue="IitV3SV2CZvsMrj/e5hw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jITs7Eq9LKqoD1oO1Mh++AxhP9n6s61Iv3ZcsymC0uun15B49XMwpty9KgyxAQWllWhtI7c5KrTQ4OaIsVb5g==" saltValue="0vfz46SOvjHn3OHOu6/Y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ORGAZ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3922</v>
      </c>
      <c r="D12" s="403">
        <f>IF(ISNUMBER(C12/Datos!BH12),C12/Datos!BH12," - ")</f>
        <v>1961</v>
      </c>
      <c r="E12" s="402">
        <f>IF(ISNUMBER(IF(J_V="SI",Datos!J12,Datos!J12+Datos!Z12)),IF(J_V="SI",Datos!J12,Datos!J12+Datos!Z12)," - ")</f>
        <v>982</v>
      </c>
      <c r="F12" s="403">
        <f>IF(ISNUMBER(E12/B12),E12/B12," - ")</f>
        <v>491</v>
      </c>
      <c r="G12" s="402">
        <f>IF(ISNUMBER(IF(J_V="SI",Datos!K12,Datos!K12+Datos!AA12)),IF(J_V="SI",Datos!K12,Datos!K12+Datos!AA12)," - ")</f>
        <v>160</v>
      </c>
      <c r="H12" s="403">
        <f>IF(ISNUMBER(G12/B12),G12/B12," - ")</f>
        <v>80</v>
      </c>
      <c r="I12" s="402">
        <f>IF(ISNUMBER(IF(J_V="SI",Datos!L12,Datos!L12+Datos!AB12)),IF(J_V="SI",Datos!L12,Datos!L12+Datos!AB12)," - ")</f>
        <v>3929</v>
      </c>
      <c r="J12" s="403">
        <f>IF(ISNUMBER(I12/B12),I12/B12," - ")</f>
        <v>1964.5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3922</v>
      </c>
      <c r="D13" s="849" t="str">
        <f>IF(ISNUMBER(C13/Datos!BI13),C13/Datos!BI13," - ")</f>
        <v xml:space="preserve"> - </v>
      </c>
      <c r="E13" s="848">
        <f>SUBTOTAL(9,E8:E12)</f>
        <v>982</v>
      </c>
      <c r="F13" s="849">
        <f>IF(ISNUMBER(E13/B13),E13/B13," - ")</f>
        <v>491</v>
      </c>
      <c r="G13" s="848">
        <f>SUBTOTAL(9,G8:G12)</f>
        <v>160</v>
      </c>
      <c r="H13" s="849">
        <f>IF(ISNUMBER(G13/B13),G13/B13," - ")</f>
        <v>80</v>
      </c>
      <c r="I13" s="848">
        <f>SUBTOTAL(9,I8:I12)</f>
        <v>3929</v>
      </c>
      <c r="J13" s="849">
        <f>IF(ISNUMBER(I13/B13),I13/B13," - ")</f>
        <v>1964.5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1091</v>
      </c>
      <c r="D16" s="403">
        <f>IF(ISNUMBER(C16/Datos!BH16),C16/Datos!BH16," - ")</f>
        <v>545.5</v>
      </c>
      <c r="E16" s="402">
        <f>IF(ISNUMBER(IF(D_I="SI",Datos!J16,Datos!J16+Datos!AD16)),IF(D_I="SI",Datos!J16,Datos!J16+Datos!AD16)," - ")</f>
        <v>342</v>
      </c>
      <c r="F16" s="403">
        <f>IF(ISNUMBER(E16/B16),E16/B16," - ")</f>
        <v>171</v>
      </c>
      <c r="G16" s="402">
        <f>IF(ISNUMBER(IF(D_I="SI",Datos!K16,Datos!K16+Datos!AE16)),IF(D_I="SI",Datos!K16,Datos!K16+Datos!AE16)," - ")</f>
        <v>315</v>
      </c>
      <c r="H16" s="403">
        <f>IF(ISNUMBER(G16/B16),G16/B16," - ")</f>
        <v>157.5</v>
      </c>
      <c r="I16" s="402">
        <f>IF(ISNUMBER(IF(D_I="SI",Datos!L16,Datos!L16+Datos!AF16)),IF(D_I="SI",Datos!L16,Datos!L16+Datos!AF16)," - ")</f>
        <v>1139</v>
      </c>
      <c r="J16" s="403">
        <f>IF(ISNUMBER(I16/B16),I16/B16," - ")</f>
        <v>569.5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1108</v>
      </c>
      <c r="D18" s="849" t="str">
        <f>IF(ISNUMBER(C18/Datos!BI18),C18/Datos!BI18," - ")</f>
        <v xml:space="preserve"> - </v>
      </c>
      <c r="E18" s="848">
        <f>SUBTOTAL(9,E14:E17)</f>
        <v>342</v>
      </c>
      <c r="F18" s="849">
        <f>IF(ISNUMBER(E18/B18),E18/B18," - ")</f>
        <v>171</v>
      </c>
      <c r="G18" s="848">
        <f>SUBTOTAL(9,G14:G17)</f>
        <v>316</v>
      </c>
      <c r="H18" s="849">
        <f>IF(ISNUMBER(G18/B18),G18/B18," - ")</f>
        <v>158</v>
      </c>
      <c r="I18" s="848">
        <f>SUBTOTAL(9,I14:I17)</f>
        <v>1155</v>
      </c>
      <c r="J18" s="849">
        <f>IF(ISNUMBER(I18/B18),I18/B18," - ")</f>
        <v>577.5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5030</v>
      </c>
      <c r="D19" s="794" t="str">
        <f>IF(ISNUMBER(C19/Datos!BI19),C19/Datos!BI19," - ")</f>
        <v xml:space="preserve"> - </v>
      </c>
      <c r="E19" s="793">
        <f>SUBTOTAL(9,E9:E18)</f>
        <v>1324</v>
      </c>
      <c r="F19" s="794">
        <f>IF(ISNUMBER(E19/B19),E19/B19," - ")</f>
        <v>662</v>
      </c>
      <c r="G19" s="793">
        <f>SUBTOTAL(9,G9:G18)</f>
        <v>476</v>
      </c>
      <c r="H19" s="794">
        <f>IF(ISNUMBER(G19/B19),G19/B19," - ")</f>
        <v>238</v>
      </c>
      <c r="I19" s="793">
        <f>SUBTOTAL(9,I9:I18)</f>
        <v>5084</v>
      </c>
      <c r="J19" s="794">
        <f>IF(ISNUMBER(I19/B19),I19/B19," - ")</f>
        <v>2542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LkaBKsbPiLEJnUQLLws0EHKaMChp9RLbavVkJ/WMOcAj9sP8S8wt/ZtYcPdcydBINIbclLE2x4fYjTwu/RTkA==" saltValue="QdfHj7HZPVUsVoBoxk7+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ORGAZ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v>
      </c>
      <c r="AM12" s="689">
        <f>IF(ISNUMBER(Datos!N12+DatosP!N16),Datos!N12+DatosP!N16," - ")</f>
        <v>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73.668750000000003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3.17931326833404E-2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26</v>
      </c>
      <c r="AE13" s="938">
        <f t="shared" si="1"/>
        <v>0</v>
      </c>
      <c r="AF13" s="938">
        <f t="shared" si="1"/>
        <v>0</v>
      </c>
      <c r="AG13" s="938">
        <f t="shared" si="1"/>
        <v>0</v>
      </c>
      <c r="AH13" s="938">
        <f t="shared" si="1"/>
        <v>2434</v>
      </c>
      <c r="AI13" s="938">
        <f t="shared" si="1"/>
        <v>0</v>
      </c>
      <c r="AJ13" s="938">
        <f t="shared" si="1"/>
        <v>0</v>
      </c>
      <c r="AK13" s="938">
        <f t="shared" si="1"/>
        <v>0</v>
      </c>
      <c r="AL13" s="938">
        <f t="shared" si="1"/>
        <v>59</v>
      </c>
      <c r="AM13" s="938">
        <f t="shared" si="1"/>
        <v>50</v>
      </c>
      <c r="AN13" s="938">
        <f t="shared" si="1"/>
        <v>0</v>
      </c>
      <c r="AO13" s="938">
        <f t="shared" si="1"/>
        <v>0</v>
      </c>
      <c r="AP13" s="943">
        <f>IF(ISNUMBER(((Datos!L13/Datos!K13)*11)/factor_trimestre),((Datos!L13/Datos!K13)*11)/factor_trimestre," - ")</f>
        <v>75.238410596026498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3.17931326833404E-2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10.965189873417723</v>
      </c>
      <c r="AQ18" s="943">
        <f>IF(ISNUMBER(((Datos!M18/Datos!L18)*11)/factor_trimestre),((Datos!M18/Datos!L18)*11)/factor_trimestre," - ")</f>
        <v>9.350649350649351E-2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0.16981132075471697</v>
      </c>
      <c r="AW18" s="945">
        <f>IF(ISNUMBER((Datos!Q18-Datos!R18)/(Datos!S18-Datos!Q18+Datos!R18)),(Datos!Q18-Datos!R18)/(Datos!S18-Datos!Q18+Datos!R18)," - ")</f>
        <v>-0.100169779286927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26</v>
      </c>
      <c r="AE19" s="956">
        <f t="shared" si="5"/>
        <v>0</v>
      </c>
      <c r="AF19" s="957">
        <f t="shared" si="5"/>
        <v>0</v>
      </c>
      <c r="AG19" s="957">
        <f t="shared" si="5"/>
        <v>0</v>
      </c>
      <c r="AH19" s="957">
        <f t="shared" si="5"/>
        <v>2434</v>
      </c>
      <c r="AI19" s="957">
        <f t="shared" si="5"/>
        <v>0</v>
      </c>
      <c r="AJ19" s="958">
        <f t="shared" si="5"/>
        <v>0</v>
      </c>
      <c r="AK19" s="958">
        <f t="shared" si="5"/>
        <v>0</v>
      </c>
      <c r="AL19" s="950">
        <f t="shared" si="5"/>
        <v>59</v>
      </c>
      <c r="AM19" s="950">
        <f t="shared" si="5"/>
        <v>50</v>
      </c>
      <c r="AN19" s="950">
        <f t="shared" si="5"/>
        <v>0</v>
      </c>
      <c r="AO19" s="950">
        <f t="shared" si="5"/>
        <v>0</v>
      </c>
      <c r="AP19" s="950">
        <f>IF(ISNUMBER(((Datos!L19/Datos!K19)*11)/factor_trimestre),((Datos!L19/Datos!K19)*11)/factor_trimestre," - ")</f>
        <v>31.747323340471098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3.7728194726166328E-2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34.063665882187919</v>
      </c>
      <c r="AM21" s="735"/>
      <c r="AN21" s="735">
        <f>IF(ISNUMBER(STDEV(AN8:AN18)),STDEV(AN8:AN18),"-")</f>
        <v>0</v>
      </c>
      <c r="AO21" s="741">
        <f>IF(ISNUMBER(STDEV(AO8:AO18)),STDEV(AO8:AO18),"-")</f>
        <v>0</v>
      </c>
      <c r="AP21" s="778">
        <f>IF(ISNUMBER(STDEV(AP8:AP18)),STDEV(AP8:AP18),"-")</f>
        <v>36.663440439107326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GruKoHDkeEXiBeHQz02kpCibXQZlUjGaI43QsvUzyblD0EQEIxLICncdfSJQRd+eZU5PlnIV9gRLFQg7hREig==" saltValue="CvpcEXvUQQvX8v0qhb/B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ORGAZ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oIDxBx0MRgRanoT4hv/lLRmwCHNqO7qPiWlobhdxU7k4T/O5D5rHwt/RWNePKZGN+2QRYsA8kChAez6YkH0sw==" saltValue="S93bmYjapYaXJ9BGvbOu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ORGAZ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59</v>
      </c>
      <c r="E12" s="403">
        <f t="shared" si="0"/>
        <v>29.5</v>
      </c>
      <c r="F12" s="402">
        <f>IF(ISNUMBER(Datos!N12),Datos!N12," - ")</f>
        <v>50</v>
      </c>
      <c r="G12" s="403">
        <f t="shared" si="1"/>
        <v>25</v>
      </c>
      <c r="H12" s="402">
        <f>IF(ISNUMBER(Datos!O12),Datos!O12," - ")</f>
        <v>38</v>
      </c>
      <c r="I12" s="403">
        <f t="shared" si="2"/>
        <v>19</v>
      </c>
      <c r="BZ12" s="1185">
        <f>Datos!EZ12</f>
        <v>0</v>
      </c>
    </row>
    <row r="13" spans="1:78" ht="14.25" thickTop="1" thickBot="1">
      <c r="A13" s="847" t="str">
        <f>Datos!A13</f>
        <v>TOTAL</v>
      </c>
      <c r="B13" s="848">
        <f>Datos!AP13</f>
        <v>2</v>
      </c>
      <c r="C13" s="850">
        <f>Datos!AR13</f>
        <v>2</v>
      </c>
      <c r="D13" s="848">
        <f>SUBTOTAL(9,D9:D12)</f>
        <v>59</v>
      </c>
      <c r="E13" s="849">
        <f t="shared" si="0"/>
        <v>29.5</v>
      </c>
      <c r="F13" s="848">
        <f>SUBTOTAL(9,F9:F12)</f>
        <v>50</v>
      </c>
      <c r="G13" s="849">
        <f t="shared" si="1"/>
        <v>25</v>
      </c>
      <c r="H13" s="848">
        <f>SUBTOTAL(9,H9:H12)</f>
        <v>38</v>
      </c>
      <c r="I13" s="849">
        <f>IF(ISNUMBER(H13/B13),H13/B13," - ")</f>
        <v>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36</v>
      </c>
      <c r="E16" s="403">
        <f t="shared" si="3"/>
        <v>18</v>
      </c>
      <c r="F16" s="402">
        <f>IF(ISNUMBER(Datos!N16),Datos!N16," - ")</f>
        <v>237</v>
      </c>
      <c r="G16" s="403">
        <f t="shared" si="4"/>
        <v>118.5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238</v>
      </c>
      <c r="G18" s="849">
        <f t="shared" si="4"/>
        <v>119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95</v>
      </c>
      <c r="E19" s="794">
        <f>IF(ISNUMBER(D19/B19),D19/B19," - ")</f>
        <v>47.5</v>
      </c>
      <c r="F19" s="793">
        <f>SUBTOTAL(9,F8:F18)</f>
        <v>288</v>
      </c>
      <c r="G19" s="794">
        <f>IF(ISNUMBER(F19/B19),F19/B19," - ")</f>
        <v>144</v>
      </c>
      <c r="H19" s="793">
        <f>SUBTOTAL(9,H8:H18)</f>
        <v>38</v>
      </c>
      <c r="I19" s="794">
        <f>IF(ISNUMBER(H19/B19),H19/B19," - ")</f>
        <v>19</v>
      </c>
    </row>
    <row r="22" spans="1:78">
      <c r="A22" s="390" t="str">
        <f>Criterios!A4</f>
        <v>Fecha Informe: 17 mar. 2026</v>
      </c>
    </row>
    <row r="27" spans="1:78">
      <c r="A27" s="413"/>
    </row>
  </sheetData>
  <sheetProtection algorithmName="SHA-512" hashValue="CdP/E2w2bACk+yMc19q5BGikvZHAhjJX5cj+hqQkBuigIuSbbhiIyloI5CL+icZ0ikb0/px1p7z4aKr05bEGDQ==" saltValue="ZA5jrIX5EHpvhmj9iycl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ORGAZ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v>
      </c>
      <c r="C12" s="433">
        <f>IF(ISNUMBER(Datos!Q12),Datos!Q12," - ")</f>
        <v>26</v>
      </c>
      <c r="D12" s="407">
        <f>IF(ISNUMBER(Datos!R12),Datos!R12," - ")</f>
        <v>2434</v>
      </c>
    </row>
    <row r="13" spans="1:4" ht="14.25" thickTop="1" thickBot="1">
      <c r="A13" s="847" t="str">
        <f>Datos!A13</f>
        <v>TOTAL</v>
      </c>
      <c r="B13" s="848">
        <f>SUBTOTAL(9,B9:B12)</f>
        <v>101</v>
      </c>
      <c r="C13" s="852">
        <f>SUBTOTAL(9,C9:C12)</f>
        <v>26</v>
      </c>
      <c r="D13" s="850">
        <f>SUBTOTAL(9,D9:D12)</f>
        <v>2434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6</v>
      </c>
      <c r="D16" s="407">
        <f>IF(ISNUMBER(Datos!R16),Datos!R16," - ")</f>
        <v>124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24</v>
      </c>
      <c r="C18" s="852">
        <f>SUBTOTAL(9,C15:C17)</f>
        <v>6</v>
      </c>
      <c r="D18" s="850">
        <f>SUBTOTAL(9,D15:D17)</f>
        <v>124</v>
      </c>
    </row>
    <row r="19" spans="1:4" ht="16.5" customHeight="1" thickTop="1" thickBot="1">
      <c r="A19" s="792" t="str">
        <f>Datos!A19</f>
        <v>TOTAL JURISDICCIONES</v>
      </c>
      <c r="B19" s="797">
        <f>SUBTOTAL(9,B8:B18)</f>
        <v>125</v>
      </c>
      <c r="C19" s="798">
        <f>SUBTOTAL(9,C8:C18)</f>
        <v>32</v>
      </c>
      <c r="D19" s="799">
        <f>SUBTOTAL(9,D8:D18)</f>
        <v>2558</v>
      </c>
    </row>
    <row r="20" spans="1:4" ht="7.5" customHeight="1"/>
    <row r="21" spans="1:4" ht="6" customHeight="1"/>
    <row r="22" spans="1:4">
      <c r="A22" s="390" t="str">
        <f>Criterios!A4</f>
        <v>Fecha Informe: 17 mar. 2026</v>
      </c>
    </row>
    <row r="27" spans="1:4">
      <c r="A27" s="413"/>
    </row>
  </sheetData>
  <sheetProtection algorithmName="SHA-512" hashValue="B2H3qbpVWoksD6SmdHGSCT8wbm0fKhL3NV42ZEL02nNJx/zsnbALOEmHsBn+6wBf0K0nLY5Bnj2H+NOUn5625A==" saltValue="RfhMrOGZjnh+HiIEB50k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ORGAZ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0.20528580208973571</v>
      </c>
      <c r="C12" s="455">
        <f>IF(ISNUMBER(
   IF(J_V="SI",(Datos!J12-Datos!T12)/Datos!T12,(Datos!J12+Datos!Z12-(Datos!T12+Datos!AH12))/(Datos!T12+Datos!AH12))
     ),IF(J_V="SI",(Datos!J12-Datos!T12)/Datos!T12,(Datos!J12+Datos!Z12-(Datos!T12+Datos!AH12))/(Datos!T12+Datos!AH12))," - ")</f>
        <v>0.48114630467571645</v>
      </c>
      <c r="D12" s="455">
        <f>IF(ISNUMBER(
   IF(J_V="SI",(Datos!K12-Datos!U12)/Datos!U12,(Datos!K12+Datos!AA12-(Datos!U12+Datos!AI12))/(Datos!U12+Datos!AI12))
     ),IF(J_V="SI",(Datos!K12-Datos!U12)/Datos!U12,(Datos!K12+Datos!AA12-(Datos!U12+Datos!AI12))/(Datos!U12+Datos!AI12))," - ")</f>
        <v>-0.48051948051948051</v>
      </c>
      <c r="E12" s="455">
        <f>IF(ISNUMBER(
   IF(J_V="SI",(Datos!L12-Datos!V12)/Datos!V12,(Datos!L12+Datos!AB12-(Datos!V12+Datos!AJ12))/(Datos!V12+Datos!AJ12))
     ),IF(J_V="SI",(Datos!L12-Datos!V12)/Datos!V12,(Datos!L12+Datos!AB12-(Datos!V12+Datos!AJ12))/(Datos!V12+Datos!AJ12))," - ")</f>
        <v>0.25366943203573705</v>
      </c>
      <c r="F12" s="455">
        <f>IF(ISNUMBER((Datos!M12-Datos!W12)/Datos!W12),(Datos!M12-Datos!W12)/Datos!W12," - ")</f>
        <v>-0.45871559633027525</v>
      </c>
      <c r="G12" s="456">
        <f>IF(ISNUMBER((Datos!N12-Datos!X12)/Datos!X12),(Datos!N12-Datos!X12)/Datos!X12," - ")</f>
        <v>-0.5</v>
      </c>
      <c r="H12" s="454">
        <f>IF(ISNUMBER(((NºAsuntos!G12/NºAsuntos!E12)-Datos!BD12)/Datos!BD12),((NºAsuntos!G12/NºAsuntos!E12)-Datos!BD12)/Datos!BD12," - ")</f>
        <v>-0.64927129896579994</v>
      </c>
      <c r="I12" s="455">
        <f>IF(ISNUMBER(((NºAsuntos!I12/NºAsuntos!G12)-Datos!BE12)/Datos!BE12),((NºAsuntos!I12/NºAsuntos!G12)-Datos!BE12)/Datos!BE12," - ")</f>
        <v>1.4133136566687936</v>
      </c>
      <c r="J12" s="460">
        <f>IF(ISNUMBER((('Resol  Asuntos'!D12/NºAsuntos!G12)-Datos!BF12)/Datos!BF12),(('Resol  Asuntos'!D12/NºAsuntos!G12)-Datos!BF12)/Datos!BF12," - ")</f>
        <v>0.13575000000000007</v>
      </c>
      <c r="K12" s="461">
        <f>IF(ISNUMBER((((NºAsuntos!C12+NºAsuntos!E12)/NºAsuntos!G12)-Datos!BG12)/Datos!BG12),(((NºAsuntos!C12+NºAsuntos!E12)/NºAsuntos!G12)-Datos!BG12)/Datos!BG12," - ")</f>
        <v>1.410058718406944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0.19755725190839696</v>
      </c>
      <c r="C13" s="854">
        <f>IF(ISNUMBER(
   IF(J_V="SI",(Datos!J13-Datos!T13)/Datos!T13,(Datos!J13+Datos!Z13-(Datos!T13+Datos!AH13))/(Datos!T13+Datos!AH13))
     ),IF(J_V="SI",(Datos!J13-Datos!T13)/Datos!T13,(Datos!J13+Datos!Z13-(Datos!T13+Datos!AH13))/(Datos!T13+Datos!AH13))," - ")</f>
        <v>0.48114630467571645</v>
      </c>
      <c r="D13" s="854">
        <f>IF(ISNUMBER(
   IF(J_V="SI",(Datos!K13-Datos!U13)/Datos!U13,(Datos!K13+Datos!AA13-(Datos!U13+Datos!AI13))/(Datos!U13+Datos!AI13))
     ),IF(J_V="SI",(Datos!K13-Datos!U13)/Datos!U13,(Datos!K13+Datos!AA13-(Datos!U13+Datos!AI13))/(Datos!U13+Datos!AI13))," - ")</f>
        <v>-0.48051948051948051</v>
      </c>
      <c r="E13" s="854">
        <f>IF(ISNUMBER(
   IF(J_V="SI",(Datos!L13-Datos!V13)/Datos!V13,(Datos!L13+Datos!AB13-(Datos!V13+Datos!AJ13))/(Datos!V13+Datos!AJ13))
     ),IF(J_V="SI",(Datos!L13-Datos!V13)/Datos!V13,(Datos!L13+Datos!AB13-(Datos!V13+Datos!AJ13))/(Datos!V13+Datos!AJ13))," - ")</f>
        <v>0.25366943203573705</v>
      </c>
      <c r="F13" s="855">
        <f>IF(ISNUMBER((Datos!M13-Datos!W13)/Datos!W13),(Datos!M13-Datos!W13)/Datos!W13," - ")</f>
        <v>-0.45871559633027525</v>
      </c>
      <c r="G13" s="856">
        <f>IF(ISNUMBER((Datos!N13-Datos!X13)/Datos!X13),(Datos!N13-Datos!X13)/Datos!X13," - ")</f>
        <v>-0.5</v>
      </c>
      <c r="H13" s="856">
        <f>IF(ISNUMBER(((NºAsuntos!G13/NºAsuntos!E13)-Datos!BD13)/Datos!BD13),((NºAsuntos!G13/NºAsuntos!E13)-Datos!BD13)/Datos!BD13," - ")</f>
        <v>-0.64927129896579994</v>
      </c>
      <c r="I13" s="856">
        <f>IF(ISNUMBER(((NºAsuntos!I13/NºAsuntos!G13)-Datos!BE13)/Datos!BE13),((NºAsuntos!I13/NºAsuntos!G13)-Datos!BE13)/Datos!BE13," - ")</f>
        <v>1.4133136566687936</v>
      </c>
      <c r="J13" s="856">
        <f>IF(ISNUMBER((('Resol  Asuntos'!D13/NºAsuntos!G13)-Datos!BF13)/Datos!BF13),(('Resol  Asuntos'!D13/NºAsuntos!G13)-Datos!BF13)/Datos!BF13," - ")</f>
        <v>0.13575000000000007</v>
      </c>
      <c r="K13" s="856">
        <f>IF(ISNUMBER((((NºAsuntos!C13+NºAsuntos!E13)/NºAsuntos!G13)-Datos!BG13)/Datos!BG13),(((NºAsuntos!C13+NºAsuntos!E13)/NºAsuntos!G13)-Datos!BG13)/Datos!BG13," - ")</f>
        <v>1.3972067039106144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7.9129574678536096E-2</v>
      </c>
      <c r="C16" s="455">
        <f>IF(ISNUMBER(
   IF(D_I="SI",(Datos!J16-Datos!T16)/Datos!T16,(Datos!J16+Datos!AD16-(Datos!T16+Datos!AL16))/(Datos!T16+Datos!AL16))
     ),IF(D_I="SI",(Datos!J16-Datos!T16)/Datos!T16,(Datos!J16+Datos!AD16-(Datos!T16+Datos!AL16))/(Datos!T16+Datos!AL16))," - ")</f>
        <v>-0.41935483870967744</v>
      </c>
      <c r="D16" s="455">
        <f>IF(ISNUMBER(
   IF(D_I="SI",(Datos!K16-Datos!U16)/Datos!U16,(Datos!K16+Datos!AE16-(Datos!U16+Datos!AM16))/(Datos!U16+Datos!AM16))
     ),IF(D_I="SI",(Datos!K16-Datos!U16)/Datos!U16,(Datos!K16+Datos!AE16-(Datos!U16+Datos!AM16))/(Datos!U16+Datos!AM16))," - ")</f>
        <v>-5.1204819277108432E-2</v>
      </c>
      <c r="E16" s="455">
        <f>IF(ISNUMBER(
   IF(D_I="SI",(Datos!L16-Datos!V16)/Datos!V16,(Datos!L16+Datos!AF16-(Datos!V16+Datos!AN16))/(Datos!V16+Datos!AN16))
     ),IF(D_I="SI",(Datos!L16-Datos!V16)/Datos!V16,(Datos!L16+Datos!AF16-(Datos!V16+Datos!AN16))/(Datos!V16+Datos!AN16))," - ")</f>
        <v>0.34952606635071087</v>
      </c>
      <c r="F16" s="455">
        <f>IF(ISNUMBER((Datos!M16-Datos!W16)/Datos!W16),(Datos!M16-Datos!W16)/Datos!W16," - ")</f>
        <v>0.2413793103448276</v>
      </c>
      <c r="G16" s="456">
        <f>IF(ISNUMBER((Datos!N16-Datos!X16)/Datos!X16),(Datos!N16-Datos!X16)/Datos!X16," - ")</f>
        <v>-1.6597510373443983E-2</v>
      </c>
      <c r="H16" s="454">
        <f>IF(ISNUMBER(((NºAsuntos!G16/NºAsuntos!E16)-Datos!BD16)/Datos!BD16),((NºAsuntos!G16/NºAsuntos!E16)-Datos!BD16)/Datos!BD16," - ")</f>
        <v>0.63403614457831325</v>
      </c>
      <c r="I16" s="455">
        <f>IF(ISNUMBER(((NºAsuntos!I16/NºAsuntos!G16)-Datos!BE16)/Datos!BE16),((NºAsuntos!I16/NºAsuntos!G16)-Datos!BE16)/Datos!BE16," - ")</f>
        <v>0.42235763183630481</v>
      </c>
      <c r="J16" s="460">
        <f>IF(ISNUMBER((('Resol  Asuntos'!D16/NºAsuntos!G16)-Datos!BF16)/Datos!BF16),(('Resol  Asuntos'!D16/NºAsuntos!G16)-Datos!BF16)/Datos!BF16," - ")</f>
        <v>0.30837438423645308</v>
      </c>
      <c r="K16" s="461">
        <f>IF(ISNUMBER((((NºAsuntos!C16+NºAsuntos!E16)/NºAsuntos!G16)-Datos!BG16)/Datos!BG16),(((NºAsuntos!C16+NºAsuntos!E16)/NºAsuntos!G16)-Datos!BG16)/Datos!BG16," - ")</f>
        <v>-5.603968253968266E-2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-0.65306122448979587</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-0.38461538461538464</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4.5283018867924525E-2</v>
      </c>
      <c r="C18" s="854">
        <f>IF(ISNUMBER(
   IF(Criterios!B14="SI",(Datos!J18-Datos!T18)/Datos!T18,(Datos!J18+Datos!AD18-(Datos!T18+Datos!AL18))/(Datos!T18+Datos!AL18))
     ),IF(Criterios!B14="SI",(Datos!J18-Datos!T18)/Datos!T18,(Datos!J18+Datos!AD18-(Datos!T18+Datos!AL18))/(Datos!T18+Datos!AL18))," - ")</f>
        <v>-0.41935483870967744</v>
      </c>
      <c r="D18" s="854">
        <f>IF(ISNUMBER(
   IF(Criterios!B14="SI",(Datos!K18-Datos!U18)/Datos!U18,(Datos!K18+Datos!AE18-(Datos!U18+Datos!AM18))/(Datos!U18+Datos!AM18))
     ),IF(Criterios!B14="SI",(Datos!K18-Datos!U18)/Datos!U18,(Datos!K18+Datos!AE18-(Datos!U18+Datos!AM18))/(Datos!U18+Datos!AM18))," - ")</f>
        <v>-4.8192771084337352E-2</v>
      </c>
      <c r="E18" s="854">
        <f>IF(ISNUMBER(
   IF(Criterios!B14="SI",(Datos!L18-Datos!V18)/Datos!V18,(Datos!L18+Datos!AF18-(Datos!V18+Datos!AN18))/(Datos!V18+Datos!AN18))
     ),IF(Criterios!B14="SI",(Datos!L18-Datos!V18)/Datos!V18,(Datos!L18+Datos!AF18-(Datos!V18+Datos!AN18))/(Datos!V18+Datos!AN18))," - ")</f>
        <v>0.32758620689655171</v>
      </c>
      <c r="F18" s="855">
        <f>IF(ISNUMBER((Datos!M18-Datos!W18)/Datos!W18),(Datos!M18-Datos!W18)/Datos!W18," - ")</f>
        <v>0.2413793103448276</v>
      </c>
      <c r="G18" s="856">
        <f>IF(ISNUMBER((Datos!N18-Datos!X18)/Datos!X18),(Datos!N18-Datos!X18)/Datos!X18," - ")</f>
        <v>-1.2448132780082987E-2</v>
      </c>
      <c r="H18" s="856">
        <f>IF(ISNUMBER(((NºAsuntos!G18/NºAsuntos!E18)-Datos!BD18)/Datos!BD18),((NºAsuntos!G18/NºAsuntos!E18)-Datos!BD18)/Datos!BD18," - ")</f>
        <v>0.63922356091030785</v>
      </c>
      <c r="I18" s="856">
        <f>IF(ISNUMBER(((NºAsuntos!I18/NºAsuntos!G18)-Datos!BE18)/Datos!BE18),((NºAsuntos!I18/NºAsuntos!G18)-Datos!BE18)/Datos!BE18," - ")</f>
        <v>0.39480576167612386</v>
      </c>
      <c r="J18" s="856">
        <f>IF(ISNUMBER((('Resol  Asuntos'!D18/NºAsuntos!G18)-Datos!BF18)/Datos!BF18),(('Resol  Asuntos'!D18/NºAsuntos!G18)-Datos!BF18)/Datos!BF18," - ")</f>
        <v>0.30423395896988203</v>
      </c>
      <c r="K18" s="856">
        <f>IF(ISNUMBER((((NºAsuntos!C18+NºAsuntos!E18)/NºAsuntos!G18)-Datos!BG18)/Datos!BG18),(((NºAsuntos!C18+NºAsuntos!E18)/NºAsuntos!G18)-Datos!BG18)/Datos!BG18," - ")</f>
        <v>-7.6156627338394664E-2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0.16032295271049596</v>
      </c>
      <c r="C19" s="801">
        <f>IF(ISNUMBER(
   IF(J_V="SI",(Datos!J19-Datos!T19)/Datos!T19,(Datos!J19+Datos!Z19-(Datos!T19+Datos!AH19))/(Datos!T19+Datos!AH19))
     ),IF(J_V="SI",(Datos!J19-Datos!T19)/Datos!T19,(Datos!J19+Datos!Z19-(Datos!T19+Datos!AH19))/(Datos!T19+Datos!AH19))," - ")</f>
        <v>5.7507987220447282E-2</v>
      </c>
      <c r="D19" s="801">
        <f>IF(ISNUMBER(
   IF(J_V="SI",(Datos!K19-Datos!U19)/Datos!U19,(Datos!K19+Datos!AA19-(Datos!U19+Datos!AI19))/(Datos!U19+Datos!AI19))
     ),IF(J_V="SI",(Datos!K19-Datos!U19)/Datos!U19,(Datos!K19+Datos!AA19-(Datos!U19+Datos!AI19))/(Datos!U19+Datos!AI19))," - ")</f>
        <v>-0.25624999999999998</v>
      </c>
      <c r="E19" s="801">
        <f>IF(ISNUMBER(
   IF(J_V="SI",(Datos!L19-Datos!V19)/Datos!V19,(Datos!L19+Datos!AB19-(Datos!V19+Datos!AJ19))/(Datos!V19+Datos!AJ19))
     ),IF(J_V="SI",(Datos!L19-Datos!V19)/Datos!V19,(Datos!L19+Datos!AB19-(Datos!V19+Datos!AJ19))/(Datos!V19+Datos!AJ19))," - ")</f>
        <v>0.26973026973026976</v>
      </c>
      <c r="F19" s="802">
        <f>IF(ISNUMBER((Datos!M19-Datos!W19)/Datos!W19),(Datos!M19-Datos!W19)/Datos!W19," - ")</f>
        <v>-0.31159420289855072</v>
      </c>
      <c r="G19" s="803">
        <f>IF(ISNUMBER((Datos!N19-Datos!X19)/Datos!X19),(Datos!N19-Datos!X19)/Datos!X19," - ")</f>
        <v>-0.15542521994134897</v>
      </c>
      <c r="H19" s="804">
        <f>IF(ISNUMBER((Tasas!B19-Datos!BD19)/Datos!BD19),(Tasas!B19-Datos!BD19)/Datos!BD19," - ")</f>
        <v>-0.29669561933534738</v>
      </c>
      <c r="I19" s="805">
        <f>IF(ISNUMBER((Tasas!C19-Datos!BE19)/Datos!BE19),(Tasas!C19-Datos!BE19)/Datos!BE19," - ")</f>
        <v>0.70720036266254749</v>
      </c>
      <c r="J19" s="806">
        <f>IF(ISNUMBER((Tasas!D19-Datos!BF19)/Datos!BF19),(Tasas!D19-Datos!BF19)/Datos!BF19," - ")</f>
        <v>-9.836492736629501E-3</v>
      </c>
      <c r="K19" s="806">
        <f>IF(ISNUMBER((Tasas!E19-Datos!BG19)/Datos!BG19),(Tasas!E19-Datos!BG19)/Datos!BG19," - ")</f>
        <v>0.52911997088078111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OoYyG4B+O2DY28VK/Wg6HbYZkULOSGczPZ+zkzz4LFODe5xNaiwk5bviFNtIUJFy73v9OfoT9gwwd2SrV5XOw==" saltValue="TmgKZlIqC8vj+XDHgstq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ORGAZ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0.16293279022403259</v>
      </c>
      <c r="C12" s="442">
        <f>IF(ISNUMBER(NºAsuntos!I12/NºAsuntos!G12),NºAsuntos!I12/NºAsuntos!G12," - ")</f>
        <v>24.556249999999999</v>
      </c>
      <c r="D12" s="443">
        <f>IF(ISNUMBER('Resol  Asuntos'!D12/NºAsuntos!G12),'Resol  Asuntos'!D12/NºAsuntos!G12," - ")</f>
        <v>0.36875000000000002</v>
      </c>
      <c r="E12" s="444">
        <f>IF(ISNUMBER((NºAsuntos!C12+NºAsuntos!E12)/NºAsuntos!G12),(NºAsuntos!C12+NºAsuntos!E12)/NºAsuntos!G12," - ")</f>
        <v>30.65</v>
      </c>
      <c r="G12" s="462"/>
    </row>
    <row r="13" spans="1:7" ht="14.25" thickTop="1" thickBot="1">
      <c r="A13" s="847" t="str">
        <f>Datos!A13</f>
        <v>TOTAL</v>
      </c>
      <c r="B13" s="857">
        <f>IF(ISNUMBER(NºAsuntos!G13/NºAsuntos!E13),NºAsuntos!G13/NºAsuntos!E13," - ")</f>
        <v>0.16293279022403259</v>
      </c>
      <c r="C13" s="858">
        <f>IF(ISNUMBER(NºAsuntos!I13/NºAsuntos!G13),NºAsuntos!I13/NºAsuntos!G13," - ")</f>
        <v>24.556249999999999</v>
      </c>
      <c r="D13" s="859">
        <f>IF(ISNUMBER('Resol  Asuntos'!D13/NºAsuntos!G13),'Resol  Asuntos'!D13/NºAsuntos!G13," - ")</f>
        <v>0.36875000000000002</v>
      </c>
      <c r="E13" s="860">
        <f>IF(ISNUMBER((NºAsuntos!C13+NºAsuntos!E13)/NºAsuntos!G13),(NºAsuntos!C13+NºAsuntos!E13)/NºAsuntos!G13," - ")</f>
        <v>30.65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0.92105263157894735</v>
      </c>
      <c r="C16" s="442">
        <f>IF(ISNUMBER(NºAsuntos!I16/NºAsuntos!G16),NºAsuntos!I16/NºAsuntos!G16," - ")</f>
        <v>3.6158730158730159</v>
      </c>
      <c r="D16" s="443">
        <f>IF(ISNUMBER('Resol  Asuntos'!D16/NºAsuntos!G16),'Resol  Asuntos'!D16/NºAsuntos!G16," - ")</f>
        <v>0.11428571428571428</v>
      </c>
      <c r="E16" s="444">
        <f>IF(ISNUMBER((NºAsuntos!C16+NºAsuntos!E16)/NºAsuntos!G16),(NºAsuntos!C16+NºAsuntos!E16)/NºAsuntos!G16," - ")</f>
        <v>4.549206349206349</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16</v>
      </c>
      <c r="D17" s="443">
        <f>IF(ISNUMBER('Resol  Asuntos'!D17/NºAsuntos!G17),'Resol  Asuntos'!D17/NºAsuntos!G17," - ")</f>
        <v>0</v>
      </c>
      <c r="E17" s="444">
        <f>IF(ISNUMBER((NºAsuntos!C17+NºAsuntos!E17)/NºAsuntos!G17),(NºAsuntos!C17+NºAsuntos!E17)/NºAsuntos!G17," - ")</f>
        <v>17</v>
      </c>
      <c r="G17" s="462"/>
    </row>
    <row r="18" spans="1:7" ht="14.25" thickTop="1" thickBot="1">
      <c r="A18" s="847" t="str">
        <f>Datos!A18</f>
        <v>TOTAL</v>
      </c>
      <c r="B18" s="857">
        <f>IF(ISNUMBER(NºAsuntos!G18/NºAsuntos!E18),NºAsuntos!G18/NºAsuntos!E18," - ")</f>
        <v>0.92397660818713445</v>
      </c>
      <c r="C18" s="858">
        <f>IF(ISNUMBER(NºAsuntos!I18/NºAsuntos!G18),NºAsuntos!I18/NºAsuntos!G18," - ")</f>
        <v>3.6550632911392404</v>
      </c>
      <c r="D18" s="861">
        <f>IF(ISNUMBER('Resol  Asuntos'!D18/NºAsuntos!G18),'Resol  Asuntos'!D18/NºAsuntos!G18," - ")</f>
        <v>0.11392405063291139</v>
      </c>
      <c r="E18" s="860">
        <f>IF(ISNUMBER((NºAsuntos!C18+NºAsuntos!E18)/NºAsuntos!G18),(NºAsuntos!C18+NºAsuntos!E18)/NºAsuntos!G18," - ")</f>
        <v>4.5886075949367084</v>
      </c>
      <c r="G18" s="462"/>
    </row>
    <row r="19" spans="1:7" ht="15.75" customHeight="1" thickTop="1" thickBot="1">
      <c r="A19" s="792" t="str">
        <f>Datos!A19</f>
        <v>TOTAL JURISDICCIONES</v>
      </c>
      <c r="B19" s="807">
        <f>IF(ISNUMBER(NºAsuntos!G19/NºAsuntos!E19),NºAsuntos!G19/NºAsuntos!E19," - ")</f>
        <v>0.3595166163141994</v>
      </c>
      <c r="C19" s="808">
        <f>IF(ISNUMBER(NºAsuntos!I19/NºAsuntos!G19),NºAsuntos!I19/NºAsuntos!G19," - ")</f>
        <v>10.680672268907562</v>
      </c>
      <c r="D19" s="809">
        <f>IF(ISNUMBER('Resol  Asuntos'!D19/NºAsuntos!G19),'Resol  Asuntos'!D19/NºAsuntos!G19," - ")</f>
        <v>0.19957983193277312</v>
      </c>
      <c r="E19" s="810">
        <f>IF(ISNUMBER((NºAsuntos!C19+NºAsuntos!E19)/NºAsuntos!G19),(NºAsuntos!C19+NºAsuntos!E19)/NºAsuntos!G19," - ")</f>
        <v>13.34873949579832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RriwggxCRPbkF7ar8tSwpEcpbq8xhj0/208dq77iHV5K2m9FgrNg+tCXDwc1VnS0vfl1kMC2amHOsyETCFK0g==" saltValue="PjvP2klg6tGM3cdTdcMc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ORGAZ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0.16293279022403259</v>
      </c>
      <c r="AM12" s="259">
        <f>IF(ISNUMBER(((NºAsuntos!I12/NºAsuntos!G12)*11)/factor_trimestre),((NºAsuntos!I12/NºAsuntos!G12)*11)/factor_trimestre," - ")</f>
        <v>73.668750000000003</v>
      </c>
      <c r="AN12" s="243">
        <f>IF(ISNUMBER('Resol  Asuntos'!D12/NºAsuntos!G12),'Resol  Asuntos'!D12/NºAsuntos!G12," - ")</f>
        <v>0.36875000000000002</v>
      </c>
      <c r="AO12" s="244">
        <f>IF(ISNUMBER((NºAsuntos!C12+NºAsuntos!E12)/NºAsuntos!G12),(NºAsuntos!C12+NºAsuntos!E12)/NºAsuntos!G12," - ")</f>
        <v>30.65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26</v>
      </c>
      <c r="Y13" s="867">
        <f t="shared" si="4"/>
        <v>26</v>
      </c>
      <c r="Z13" s="867">
        <f t="shared" si="4"/>
        <v>0</v>
      </c>
      <c r="AA13" s="867">
        <f t="shared" si="4"/>
        <v>0</v>
      </c>
      <c r="AB13" s="867">
        <f t="shared" si="4"/>
        <v>2434</v>
      </c>
      <c r="AC13" s="867">
        <f t="shared" si="4"/>
        <v>0</v>
      </c>
      <c r="AD13" s="867">
        <f t="shared" si="4"/>
        <v>0</v>
      </c>
      <c r="AE13" s="871">
        <f t="shared" si="4"/>
        <v>0</v>
      </c>
      <c r="AF13" s="864">
        <f t="shared" si="4"/>
        <v>0</v>
      </c>
      <c r="AG13" s="872">
        <f t="shared" si="4"/>
        <v>0</v>
      </c>
      <c r="AH13" s="869">
        <f t="shared" si="4"/>
        <v>0</v>
      </c>
      <c r="AI13" s="864">
        <f t="shared" si="4"/>
        <v>59</v>
      </c>
      <c r="AJ13" s="866">
        <f t="shared" si="4"/>
        <v>0</v>
      </c>
      <c r="AK13" s="869">
        <f>SUBTOTAL(9,AK9:AK12)</f>
        <v>0</v>
      </c>
      <c r="AL13" s="873">
        <f>IF(ISNUMBER(NºAsuntos!G13/NºAsuntos!E13),NºAsuntos!G13/NºAsuntos!E13," - ")</f>
        <v>0.16293279022403259</v>
      </c>
      <c r="AM13" s="873">
        <f>IF(ISNUMBER(((NºAsuntos!I13/NºAsuntos!G13)*11)/factor_trimestre),((NºAsuntos!I13/NºAsuntos!G13)*11)/factor_trimestre," - ")</f>
        <v>73.668750000000003</v>
      </c>
      <c r="AN13" s="874">
        <f>IF(ISNUMBER('Resol  Asuntos'!D13/NºAsuntos!G13),'Resol  Asuntos'!D13/NºAsuntos!G13," - ")</f>
        <v>0.36875000000000002</v>
      </c>
      <c r="AO13" s="875">
        <f>IF(ISNUMBER((NºAsuntos!C13+NºAsuntos!E13)/NºAsuntos!G13),(NºAsuntos!C13+NºAsuntos!E13)/NºAsuntos!G13," - ")</f>
        <v>30.65</v>
      </c>
      <c r="AP13" s="876" t="str">
        <f t="shared" si="2"/>
        <v xml:space="preserve"> - </v>
      </c>
      <c r="AQ13" s="876" t="str">
        <f>IF(ISNUMBER((H13-W13+K13)/(F13)),(H13-W13+K13)/(F13)," - ")</f>
        <v xml:space="preserve"> - </v>
      </c>
      <c r="AR13" s="877">
        <f>IF(ISNUMBER((Datos!P13-Datos!Q13)/(Datos!R13-Datos!P13+Datos!Q13)),(Datos!P13-Datos!Q13)/(Datos!R13-Datos!P13+Datos!Q13)," - ")</f>
        <v>3.17931326833404E-2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1112</v>
      </c>
      <c r="G16" s="332">
        <f>IF(ISNUMBER(IF(D_I="SI",Datos!I16,Datos!I16+Datos!AC16)),IF(D_I="SI",Datos!I16,Datos!I16+Datos!AC16)," - ")</f>
        <v>1091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315</v>
      </c>
      <c r="X16" s="225">
        <f>IF(ISNUMBER(Datos!Q16),Datos!Q16," - ")</f>
        <v>6</v>
      </c>
      <c r="Y16" s="333">
        <f t="shared" ref="Y16:Y17" si="7">SUM(W16:X16)</f>
        <v>321</v>
      </c>
      <c r="Z16" s="334" t="str">
        <f>IF(ISNUMBER(Datos!CC16),Datos!CC16," - ")</f>
        <v xml:space="preserve"> - </v>
      </c>
      <c r="AA16" s="331">
        <f>IF(ISNUMBER(IF(D_I="SI",Datos!L16,Datos!L16+Datos!AF16)),IF(D_I="SI",Datos!L16,Datos!L16+Datos!AF16)," - ")</f>
        <v>1139</v>
      </c>
      <c r="AB16" s="333">
        <f>IF(ISNUMBER(Datos!R16),Datos!R16," - ")</f>
        <v>124</v>
      </c>
      <c r="AC16" s="333">
        <f t="shared" si="6"/>
        <v>1263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0.92105263157894735</v>
      </c>
      <c r="AM16" s="259">
        <f>IF(ISNUMBER(((NºAsuntos!I16/NºAsuntos!G16)*11)/factor_trimestre),((NºAsuntos!I16/NºAsuntos!G16)*11)/factor_trimestre," - ")</f>
        <v>10.847619047619048</v>
      </c>
      <c r="AN16" s="243">
        <f>IF(ISNUMBER('Resol  Asuntos'!D16/NºAsuntos!G16),'Resol  Asuntos'!D16/NºAsuntos!G16," - ")</f>
        <v>0.11428571428571428</v>
      </c>
      <c r="AO16" s="244">
        <f>IF(ISNUMBER((NºAsuntos!C16+NºAsuntos!E16)/NºAsuntos!G16),(NºAsuntos!C16+NºAsuntos!E16)/NºAsuntos!G16," - ")</f>
        <v>4.549206349206349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48</v>
      </c>
      <c r="AN17" s="243">
        <f>IF(ISNUMBER('Resol  Asuntos'!D17/NºAsuntos!G17),'Resol  Asuntos'!D17/NºAsuntos!G17," - ")</f>
        <v>0</v>
      </c>
      <c r="AO17" s="244">
        <f>IF(ISNUMBER((NºAsuntos!C17+NºAsuntos!E17)/NºAsuntos!G17),(NºAsuntos!C17+NºAsuntos!E17)/NºAsuntos!G17," - ")</f>
        <v>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1112</v>
      </c>
      <c r="G18" s="865">
        <f>SUBTOTAL(9,G15:G17)</f>
        <v>1108</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316</v>
      </c>
      <c r="X18" s="866">
        <f t="shared" si="11"/>
        <v>6</v>
      </c>
      <c r="Y18" s="867">
        <f t="shared" si="11"/>
        <v>322</v>
      </c>
      <c r="Z18" s="867">
        <f t="shared" si="11"/>
        <v>0</v>
      </c>
      <c r="AA18" s="867">
        <f t="shared" si="11"/>
        <v>1155</v>
      </c>
      <c r="AB18" s="867">
        <f t="shared" si="11"/>
        <v>124</v>
      </c>
      <c r="AC18" s="867">
        <f t="shared" si="11"/>
        <v>1279</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0.92397660818713445</v>
      </c>
      <c r="AM18" s="873">
        <f>IF(ISNUMBER(((NºAsuntos!I18/NºAsuntos!G18)*11)/factor_trimestre),((NºAsuntos!I18/NºAsuntos!G18)*11)/factor_trimestre," - ")</f>
        <v>10.965189873417723</v>
      </c>
      <c r="AN18" s="874">
        <f>IF(ISNUMBER('Resol  Asuntos'!D18/NºAsuntos!G18),'Resol  Asuntos'!D18/NºAsuntos!G18," - ")</f>
        <v>0.11392405063291139</v>
      </c>
      <c r="AO18" s="875">
        <f>IF(ISNUMBER((NºAsuntos!C18+NºAsuntos!E18)/NºAsuntos!G18),(NºAsuntos!C18+NºAsuntos!E18)/NºAsuntos!G18," - ")</f>
        <v>4.5886075949367084</v>
      </c>
      <c r="AP18" s="876" t="str">
        <f t="shared" si="2"/>
        <v xml:space="preserve"> - </v>
      </c>
      <c r="AQ18" s="876">
        <f>IF(ISNUMBER((H18-W18+K18)/(F18)),(H18-W18+K18)/(F18)," - ")</f>
        <v>-0.28417266187050361</v>
      </c>
      <c r="AR18" s="877">
        <f>IF(ISNUMBER((Datos!P18-Datos!Q18)/(Datos!R18-Datos!P18+Datos!Q18)),(Datos!P18-Datos!Q18)/(Datos!R18-Datos!P18+Datos!Q18)," - ")</f>
        <v>0.16981132075471697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1112</v>
      </c>
      <c r="G19" s="820">
        <f t="shared" si="13"/>
        <v>1108</v>
      </c>
      <c r="H19" s="819">
        <f t="shared" si="13"/>
        <v>0</v>
      </c>
      <c r="I19" s="821">
        <f t="shared" si="13"/>
        <v>0</v>
      </c>
      <c r="J19" s="821">
        <f t="shared" si="13"/>
        <v>0</v>
      </c>
      <c r="K19" s="880">
        <f t="shared" si="13"/>
        <v>0</v>
      </c>
      <c r="L19" s="821">
        <f t="shared" si="13"/>
        <v>125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316</v>
      </c>
      <c r="X19" s="820">
        <f t="shared" si="14"/>
        <v>32</v>
      </c>
      <c r="Y19" s="827">
        <f t="shared" si="14"/>
        <v>348</v>
      </c>
      <c r="Z19" s="827">
        <f t="shared" si="14"/>
        <v>0</v>
      </c>
      <c r="AA19" s="827">
        <f t="shared" si="14"/>
        <v>1155</v>
      </c>
      <c r="AB19" s="827">
        <f t="shared" si="14"/>
        <v>2558</v>
      </c>
      <c r="AC19" s="827">
        <f t="shared" si="14"/>
        <v>1279</v>
      </c>
      <c r="AD19" s="827">
        <f t="shared" si="14"/>
        <v>0</v>
      </c>
      <c r="AE19" s="829">
        <f t="shared" si="14"/>
        <v>0</v>
      </c>
      <c r="AF19" s="830">
        <f t="shared" si="14"/>
        <v>0</v>
      </c>
      <c r="AG19" s="831">
        <f t="shared" si="14"/>
        <v>0</v>
      </c>
      <c r="AH19" s="829">
        <f t="shared" si="14"/>
        <v>0</v>
      </c>
      <c r="AI19" s="819">
        <f t="shared" si="14"/>
        <v>95</v>
      </c>
      <c r="AJ19" s="819">
        <f t="shared" si="14"/>
        <v>0</v>
      </c>
      <c r="AK19" s="829">
        <f t="shared" si="14"/>
        <v>0</v>
      </c>
      <c r="AL19" s="883">
        <f>IF(ISNUMBER(NºAsuntos!G19/NºAsuntos!E19),NºAsuntos!G19/NºAsuntos!E19," - ")</f>
        <v>0.3595166163141994</v>
      </c>
      <c r="AM19" s="884">
        <f>IF(ISNUMBER(((NºAsuntos!I19/NºAsuntos!G19)*11)/factor_trimestre),((NºAsuntos!I19/NºAsuntos!G19)*11)/factor_trimestre," - ")</f>
        <v>32.042016806722685</v>
      </c>
      <c r="AN19" s="884">
        <f>IF(ISNUMBER('Resol  Asuntos'!D19/NºAsuntos!G19),'Resol  Asuntos'!D19/NºAsuntos!G19," - ")</f>
        <v>0.19957983193277312</v>
      </c>
      <c r="AO19" s="885">
        <f>IF(ISNUMBER((NºAsuntos!C19+NºAsuntos!E19)/NºAsuntos!G19),(NºAsuntos!C19+NºAsuntos!E19)/NºAsuntos!G19," - ")</f>
        <v>13.34873949579832</v>
      </c>
      <c r="AP19" s="886" t="str">
        <f t="shared" si="2"/>
        <v xml:space="preserve"> - </v>
      </c>
      <c r="AQ19" s="887">
        <f>IF(OR(ISNUMBER(FIND("01",Criterios!A8,1)),ISNUMBER(FIND("02",Criterios!A8,1)),ISNUMBER(FIND("03",Criterios!A8,1)),ISNUMBER(FIND("04",Criterios!A8,1))),(I19-W19+K19)/(F19-K19),(H19-W19+K19)/(F19-K19))</f>
        <v>-0.28417266187050361</v>
      </c>
      <c r="AR19" s="888">
        <f>IF(ISNUMBER((Datos!P19-Datos!Q19)/(Datos!R19-Datos!P19+Datos!Q19)),(Datos!P19-Datos!Q19)/(Datos!R19-Datos!P19+Datos!Q19)," - ")</f>
        <v>3.7728194726166328E-2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642.01349933886388</v>
      </c>
      <c r="G21" s="252">
        <f>IF(ISNUMBER(STDEV(G8:G18)),STDEV(G8:G18),"-")</f>
        <v>599.18753324814759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172.62473750885184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26.598245556176568</v>
      </c>
      <c r="AJ21" s="251">
        <f t="shared" si="18"/>
        <v>0</v>
      </c>
      <c r="AK21" s="253">
        <f t="shared" si="18"/>
        <v>0</v>
      </c>
      <c r="AL21" s="248">
        <f t="shared" si="18"/>
        <v>0.43854639844518528</v>
      </c>
      <c r="AM21" s="249">
        <f t="shared" si="18"/>
        <v>31.485013689797835</v>
      </c>
      <c r="AN21" s="249">
        <f t="shared" si="18"/>
        <v>0.16693858810245804</v>
      </c>
      <c r="AO21" s="250">
        <f t="shared" si="18"/>
        <v>13.0434019393126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scMGi1mWA587gHH63OrCWepWfktZbVwVqOyYCIlx+B/foGr2zPPG9dQDWuBi8Dcmusle2qXdGzAKe0Kv2/cmw==" saltValue="9fr3o8J5s23mESSTvg6e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ORGAZ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-0.45871559633027525</v>
      </c>
      <c r="I12" s="349">
        <f>IF(ISNUMBER((Tasas!C12-Datos!BE12)/Datos!BE12),(Tasas!C12-Datos!BE12)/Datos!BE12," - ")</f>
        <v>1.4133136566687936</v>
      </c>
      <c r="J12" s="348">
        <f>IF(ISNUMBER((Tasas!D12-Datos!BF12)/Datos!BF12),(Tasas!D12-Datos!BF12)/Datos!BF12," - ")</f>
        <v>0.13575000000000007</v>
      </c>
      <c r="K12" s="350">
        <f>IF(ISNUMBER((Tasas!E12-Datos!BG12)/Datos!BG12),(Tasas!E12-Datos!BG12)/Datos!BG12," - ")</f>
        <v>1.410058718406944</v>
      </c>
      <c r="M12" t="e">
        <f>IF(Monitorios="SI",Datos!CE12,0)</f>
        <v>#REF!</v>
      </c>
      <c r="N12" t="e">
        <f>IF(Monitorios="SI",Datos!CF12,0)</f>
        <v>#REF!</v>
      </c>
      <c r="O12" t="e">
        <f>IF(Monitorios="SI",Datos!CG12,0)</f>
        <v>#REF!</v>
      </c>
      <c r="P12" t="e">
        <f>IF(Monitorios="SI",Datos!CH12,0)</f>
        <v>#REF!</v>
      </c>
      <c r="Q12">
        <f>IF(J_V="SI",0,Datos!AG12)</f>
        <v>88</v>
      </c>
      <c r="R12">
        <f>IF(J_V="SI",0,Datos!AH12)</f>
        <v>57</v>
      </c>
      <c r="S12">
        <f>IF(J_V="SI",0,Datos!AI12)</f>
        <v>12</v>
      </c>
      <c r="T12">
        <f>IF(J_V="SI",0,Datos!AJ12)</f>
        <v>129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-0.45871559633027525</v>
      </c>
      <c r="I13" s="356">
        <f>IF(ISNUMBER((Tasas!C13-Datos!BE13)/Datos!BE13),(Tasas!C13-Datos!BE13)/Datos!BE13," - ")</f>
        <v>1.4133136566687936</v>
      </c>
      <c r="J13" s="354">
        <f>IF(ISNUMBER((Tasas!D13-Datos!BF13)/Datos!BF13),(Tasas!D13-Datos!BF13)/Datos!BF13," - ")</f>
        <v>0.13575000000000007</v>
      </c>
      <c r="K13" s="357">
        <f>IF(ISNUMBER((Tasas!E13-Datos!BG13)/Datos!BG13),(Tasas!E13-Datos!BG13)/Datos!BG13," - ")</f>
        <v>1.3972067039106144</v>
      </c>
      <c r="M13" t="e">
        <f>IF(Monitorios="SI",Datos!CE13,0)</f>
        <v>#REF!</v>
      </c>
      <c r="N13" t="e">
        <f>IF(Monitorios="SI",Datos!CF13,0)</f>
        <v>#REF!</v>
      </c>
      <c r="O13" t="e">
        <f>IF(Monitorios="SI",Datos!CG13,0)</f>
        <v>#REF!</v>
      </c>
      <c r="P13" t="e">
        <f>IF(Monitorios="SI",Datos!CH13,0)</f>
        <v>#REF!</v>
      </c>
      <c r="Q13">
        <f>IF(J_V="SI",0,Datos!AG13)</f>
        <v>88</v>
      </c>
      <c r="R13">
        <f>IF(J_V="SI",0,Datos!AH13)</f>
        <v>57</v>
      </c>
      <c r="S13">
        <f>IF(J_V="SI",0,Datos!AI13)</f>
        <v>12</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7.9129574678536096E-2</v>
      </c>
      <c r="E16" s="347">
        <f>IF(ISNUMBER(
   IF(D_I="SI",(Datos!J16-Datos!T16)/Datos!T16,(Datos!J16+Datos!AD16-(Datos!T16+Datos!AL16))/(Datos!T16+Datos!AL16))
     ),IF(D_I="SI",(Datos!J16-Datos!T16)/Datos!T16,(Datos!J16+Datos!AD16-(Datos!T16+Datos!AL16))/(Datos!T16+Datos!AL16))," - ")</f>
        <v>-0.41935483870967744</v>
      </c>
      <c r="F16" s="347">
        <f>IF(ISNUMBER(
   IF(D_I="SI",(Datos!K16-Datos!U16)/Datos!U16,(Datos!K16+Datos!AE16-(Datos!U16+Datos!AM16))/(Datos!U16+Datos!AM16))
     ),IF(D_I="SI",(Datos!K16-Datos!U16)/Datos!U16,(Datos!K16+Datos!AE16-(Datos!U16+Datos!AM16))/(Datos!U16+Datos!AM16))," - ")</f>
        <v>-5.1204819277108432E-2</v>
      </c>
      <c r="G16" s="348">
        <f>IF(ISNUMBER(
   IF(D_I="SI",(Datos!L16-Datos!V16)/Datos!V16,(Datos!L16+Datos!AF16-(Datos!V16+Datos!AN16))/(Datos!V16+Datos!AN16))
     ),IF(D_I="SI",(Datos!L16-Datos!V16)/Datos!V16,(Datos!L16+Datos!AF16-(Datos!V16+Datos!AN16))/(Datos!V16+Datos!AN16))," - ")</f>
        <v>0.34952606635071087</v>
      </c>
      <c r="H16" s="229">
        <f>IF(ISNUMBER((Datos!M16-Datos!W16)/Datos!W16),(Datos!M16-Datos!W16)/Datos!W16," - ")</f>
        <v>0.2413793103448276</v>
      </c>
      <c r="I16" s="349">
        <f>IF(ISNUMBER((Tasas!C16-Datos!BE16)/Datos!BE16),(Tasas!C16-Datos!BE16)/Datos!BE16," - ")</f>
        <v>0.42235763183630481</v>
      </c>
      <c r="J16" s="348">
        <f>IF(ISNUMBER((Tasas!D16-Datos!BF16)/Datos!BF16),(Tasas!D16-Datos!BF16)/Datos!BF16," - ")</f>
        <v>0.30837438423645308</v>
      </c>
      <c r="K16" s="350">
        <f>IF(ISNUMBER((Tasas!E16-Datos!BG16)/Datos!BG16),(Tasas!E16-Datos!BG16)/Datos!BG16," - ")</f>
        <v>-5.603968253968266E-2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-0.65306122448979587</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-0.38461538461538464</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4.5283018867924525E-2</v>
      </c>
      <c r="E18" s="353">
        <f>IF(ISNUMBER(
   IF(D_I="SI",(Datos!J18-Datos!T18)/Datos!T18,(Datos!J18+Datos!AD18-(Datos!T18+Datos!AL18))/(Datos!T18+Datos!AL18))
     ),IF(D_I="SI",(Datos!J18-Datos!T18)/Datos!T18,(Datos!J18+Datos!AD18-(Datos!T18+Datos!AL18))/(Datos!T18+Datos!AL18))," - ")</f>
        <v>-0.41935483870967744</v>
      </c>
      <c r="F18" s="353">
        <f>IF(ISNUMBER(
   IF(D_I="SI",(Datos!K18-Datos!U18)/Datos!U18,(Datos!K18+Datos!AE18-(Datos!U18+Datos!AM18))/(Datos!U18+Datos!AM18))
     ),IF(D_I="SI",(Datos!K18-Datos!U18)/Datos!U18,(Datos!K18+Datos!AE18-(Datos!U18+Datos!AM18))/(Datos!U18+Datos!AM18))," - ")</f>
        <v>-4.8192771084337352E-2</v>
      </c>
      <c r="G18" s="354">
        <f>IF(ISNUMBER(
   IF(D_I="SI",(Datos!L18-Datos!V18)/Datos!V18,(Datos!L18+Datos!AF18-(Datos!V18+Datos!AN18))/(Datos!V18+Datos!AN18))
     ),IF(D_I="SI",(Datos!L18-Datos!V18)/Datos!V18,(Datos!L18+Datos!AF18-(Datos!V18+Datos!AN18))/(Datos!V18+Datos!AN18))," - ")</f>
        <v>0.32758620689655171</v>
      </c>
      <c r="H18" s="355">
        <f>IF(ISNUMBER((Datos!M18-Datos!W18)/Datos!W18),(Datos!M18-Datos!W18)/Datos!W18," - ")</f>
        <v>0.2413793103448276</v>
      </c>
      <c r="I18" s="356">
        <f>IF(ISNUMBER((Tasas!C18-Datos!BE18)/Datos!BE18),(Tasas!C18-Datos!BE18)/Datos!BE18," - ")</f>
        <v>0.39480576167612386</v>
      </c>
      <c r="J18" s="354">
        <f>IF(ISNUMBER((Tasas!D18-Datos!BF18)/Datos!BF18),(Tasas!D18-Datos!BF18)/Datos!BF18," - ")</f>
        <v>0.30423395896988203</v>
      </c>
      <c r="K18" s="357">
        <f>IF(ISNUMBER((Tasas!E18-Datos!BG18)/Datos!BG18),(Tasas!E18-Datos!BG18)/Datos!BG18," - ")</f>
        <v>-7.6156627338394664E-2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0.16032295271049596</v>
      </c>
      <c r="E19" s="362">
        <f>IF(ISNUMBER(
   IF(J_V="SI",(Datos!J19-Datos!T19)/Datos!T19,(Datos!J19+Datos!Z19-(Datos!T19+Datos!AH19))/(Datos!T19+Datos!AH19))
     ),IF(J_V="SI",(Datos!J19-Datos!T19)/Datos!T19,(Datos!J19+Datos!Z19-(Datos!T19+Datos!AH19))/(Datos!T19+Datos!AH19))," - ")</f>
        <v>5.7507987220447282E-2</v>
      </c>
      <c r="F19" s="362">
        <f>IF(ISNUMBER(
   IF(J_V="SI",(Datos!K19-Datos!U19)/Datos!U19,(Datos!K19+Datos!AA19-(Datos!U19+Datos!AI19))/(Datos!U19+Datos!AI19))
     ),IF(J_V="SI",(Datos!K19-Datos!U19)/Datos!U19,(Datos!K19+Datos!AA19-(Datos!U19+Datos!AI19))/(Datos!U19+Datos!AI19))," - ")</f>
        <v>-0.25624999999999998</v>
      </c>
      <c r="G19" s="363">
        <f>IF(ISNUMBER(
   IF(J_V="SI",(Datos!L19-Datos!V19)/Datos!V19,(Datos!L19+Datos!AB19-(Datos!V19+Datos!AJ19))/(Datos!V19+Datos!AJ19))
     ),IF(J_V="SI",(Datos!L19-Datos!V19)/Datos!V19,(Datos!L19+Datos!AB19-(Datos!V19+Datos!AJ19))/(Datos!V19+Datos!AJ19))," - ")</f>
        <v>0.26973026973026976</v>
      </c>
      <c r="H19" s="364">
        <f>IF(ISNUMBER((Datos!M19-Datos!W19)/Datos!W19),(Datos!M19-Datos!W19)/Datos!W19," - ")</f>
        <v>-0.31159420289855072</v>
      </c>
      <c r="I19" s="361">
        <f>IF(ISNUMBER((Tasas!C19-Datos!BE19)/Datos!BE19),(Tasas!C19-Datos!BE19)/Datos!BE19," - ")</f>
        <v>0.70720036266254749</v>
      </c>
      <c r="J19" s="362">
        <f>IF(ISNUMBER((Tasas!D19-Datos!BF19)/Datos!BF19),(Tasas!D19-Datos!BF19)/Datos!BF19," - ")</f>
        <v>-9.836492736629501E-3</v>
      </c>
      <c r="K19" s="363">
        <f>IF(ISNUMBER((Tasas!E19-Datos!BG19)/Datos!BG19),(Tasas!E19-Datos!BG19)/Datos!BG19," - ")</f>
        <v>0.52911997088078111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0.53248140659165344</v>
      </c>
      <c r="E21" s="277">
        <f t="shared" si="1"/>
        <v>0</v>
      </c>
      <c r="F21" s="277">
        <f t="shared" si="1"/>
        <v>2.1298397023691161E-3</v>
      </c>
      <c r="G21" s="278">
        <f t="shared" si="1"/>
        <v>0.41766735855454939</v>
      </c>
      <c r="H21" s="284">
        <f t="shared" si="1"/>
        <v>0.40419998282715658</v>
      </c>
      <c r="I21" s="276">
        <f t="shared" si="1"/>
        <v>0.58019130869177793</v>
      </c>
      <c r="J21" s="277">
        <f t="shared" si="1"/>
        <v>9.8484003797464026E-2</v>
      </c>
      <c r="K21" s="278">
        <f t="shared" si="1"/>
        <v>0.84860547402448572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Sj+2erMO0/cTox79mS3eBzuVoK55qj4Tiz+2umLV2DM5bW52I1A0PEkcHX6ML1MSs7dSMpftdPwNTIOCD4hOg==" saltValue="VhGFPR5pZqaJTk/c+Q71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